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2510" windowHeight="8670" firstSheet="4" activeTab="9"/>
  </bookViews>
  <sheets>
    <sheet name="Proposed 2020-2021" sheetId="1" r:id="rId1"/>
    <sheet name="Proposed 2020-2021 R1" sheetId="2" r:id="rId2"/>
    <sheet name="Proposed 2020-2021 R2" sheetId="3" r:id="rId3"/>
    <sheet name="Proposed 2020-2021 R3" sheetId="4" r:id="rId4"/>
    <sheet name="Proposed 2020-2021 R4" sheetId="5" r:id="rId5"/>
    <sheet name="Proposed 2020-2021 R4 (2)" sheetId="6" r:id="rId6"/>
    <sheet name="Proposed 2020-2021 R4 (3)" sheetId="7" r:id="rId7"/>
    <sheet name="3% COLA" sheetId="8" r:id="rId8"/>
    <sheet name="$2 increase" sheetId="9" r:id="rId9"/>
    <sheet name="$2 increase (2)" sheetId="10" r:id="rId10"/>
    <sheet name="$1 increase" sheetId="11" r:id="rId11"/>
    <sheet name="$1 increase (2)" sheetId="12" r:id="rId12"/>
    <sheet name="ADC" sheetId="13" r:id="rId13"/>
    <sheet name="Nutrition" sheetId="14" r:id="rId14"/>
    <sheet name="General" sheetId="15" r:id="rId15"/>
    <sheet name="Sheet2" sheetId="16" r:id="rId16"/>
    <sheet name="Sheet3" sheetId="17" r:id="rId17"/>
    <sheet name="Sheet4" sheetId="18" r:id="rId18"/>
    <sheet name="Sheet5" sheetId="19" r:id="rId19"/>
    <sheet name="Sheet6" sheetId="20" r:id="rId20"/>
    <sheet name="Sheet7" sheetId="21" r:id="rId21"/>
    <sheet name="Sheet8" sheetId="22" r:id="rId22"/>
    <sheet name="Sheet9" sheetId="23" r:id="rId23"/>
    <sheet name="Sheet10" sheetId="24" r:id="rId24"/>
    <sheet name="Sheet11" sheetId="25" r:id="rId25"/>
    <sheet name="Sheet12" sheetId="26" r:id="rId26"/>
  </sheets>
  <definedNames>
    <definedName name="Blank_MP1_panel2" localSheetId="10">'$1 increase'!$E$6</definedName>
    <definedName name="Blank_MP1_panel2" localSheetId="11">'$1 increase (2)'!$E$6</definedName>
    <definedName name="Blank_MP1_panel2" localSheetId="8">'$2 increase'!$E$6</definedName>
    <definedName name="Blank_MP1_panel2" localSheetId="9">'$2 increase (2)'!$E$6</definedName>
    <definedName name="Blank_MP1_panel3" localSheetId="10">'$1 increase'!$G$6</definedName>
    <definedName name="Blank_MP1_panel3" localSheetId="11">'$1 increase (2)'!$G$6</definedName>
    <definedName name="Blank_MP1_panel3" localSheetId="8">'$2 increase'!$G$6</definedName>
    <definedName name="Blank_MP1_panel3" localSheetId="9">'$2 increase (2)'!$G$6</definedName>
    <definedName name="Blank_MP1_panel4" localSheetId="10">'$1 increase'!$I$6</definedName>
    <definedName name="Blank_MP1_panel4" localSheetId="11">'$1 increase (2)'!$I$6</definedName>
    <definedName name="Blank_MP1_panel4" localSheetId="8">'$2 increase'!$I$6</definedName>
    <definedName name="Blank_MP1_panel4" localSheetId="9">'$2 increase (2)'!$I$6</definedName>
    <definedName name="_xlnm.Print_Area" localSheetId="10">'$1 increase'!$A$1:$E$45</definedName>
    <definedName name="_xlnm.Print_Area" localSheetId="11">'$1 increase (2)'!$A$1:$E$45</definedName>
    <definedName name="_xlnm.Print_Area" localSheetId="8">'$2 increase'!$A$1:$E$45</definedName>
    <definedName name="_xlnm.Print_Area" localSheetId="9">'$2 increase (2)'!$A$1:$E$45</definedName>
    <definedName name="_xlnm.Print_Area" localSheetId="7">'3% COLA'!$A$1:$L$47</definedName>
    <definedName name="_xlnm.Print_Area" localSheetId="12">'ADC'!$A$1:$N$31</definedName>
    <definedName name="_xlnm.Print_Area" localSheetId="0">'Proposed 2020-2021'!$A$1:$H$136</definedName>
    <definedName name="_xlnm.Print_Area" localSheetId="1">'Proposed 2020-2021 R1'!$A$1:$H$136</definedName>
    <definedName name="_xlnm.Print_Area" localSheetId="2">'Proposed 2020-2021 R2'!$A$1:$H$136</definedName>
    <definedName name="_xlnm.Print_Area" localSheetId="3">'Proposed 2020-2021 R3'!$A$1:$H$137</definedName>
    <definedName name="_xlnm.Print_Area" localSheetId="4">'Proposed 2020-2021 R4'!$A$1:$H$137</definedName>
    <definedName name="_xlnm.Print_Area" localSheetId="5">'Proposed 2020-2021 R4 (2)'!$A$1:$H$138</definedName>
    <definedName name="_xlnm.Print_Area" localSheetId="6">'Proposed 2020-2021 R4 (3)'!$A$1:$H$138</definedName>
  </definedNames>
  <calcPr fullCalcOnLoad="1"/>
</workbook>
</file>

<file path=xl/sharedStrings.xml><?xml version="1.0" encoding="utf-8"?>
<sst xmlns="http://schemas.openxmlformats.org/spreadsheetml/2006/main" count="1873" uniqueCount="216">
  <si>
    <t>Income:</t>
  </si>
  <si>
    <t>Allocations…</t>
  </si>
  <si>
    <t xml:space="preserve">     City- General Support</t>
  </si>
  <si>
    <t xml:space="preserve">     United Way</t>
  </si>
  <si>
    <t xml:space="preserve">     Federal-Title III-B</t>
  </si>
  <si>
    <t xml:space="preserve">     State</t>
  </si>
  <si>
    <t>Totals</t>
  </si>
  <si>
    <t>Self Generated…</t>
  </si>
  <si>
    <t>Contributions…</t>
  </si>
  <si>
    <t>Donations…</t>
  </si>
  <si>
    <t>Fees…</t>
  </si>
  <si>
    <t xml:space="preserve">     Adult Day Care</t>
  </si>
  <si>
    <t xml:space="preserve">     Cokes &amp; Coffee</t>
  </si>
  <si>
    <t xml:space="preserve">     Dances: Ballrm/Line</t>
  </si>
  <si>
    <t xml:space="preserve">     Dances: Friday</t>
  </si>
  <si>
    <t xml:space="preserve">     Dances: Saturday</t>
  </si>
  <si>
    <t xml:space="preserve">     Dances: Special</t>
  </si>
  <si>
    <t xml:space="preserve">     Lunches</t>
  </si>
  <si>
    <t xml:space="preserve">     Lunches for ADC</t>
  </si>
  <si>
    <t xml:space="preserve">     Yard Sales</t>
  </si>
  <si>
    <t>Fundraisers…</t>
  </si>
  <si>
    <t xml:space="preserve">     ADC Fundraisers</t>
  </si>
  <si>
    <t xml:space="preserve">     Other Fundraisers</t>
  </si>
  <si>
    <t>Added Other Income...</t>
  </si>
  <si>
    <t xml:space="preserve">     Other Income</t>
  </si>
  <si>
    <t xml:space="preserve">     Newsletter Ads</t>
  </si>
  <si>
    <t xml:space="preserve">     Rental Income</t>
  </si>
  <si>
    <t>Total of Income</t>
  </si>
  <si>
    <t>Expenses:</t>
  </si>
  <si>
    <t>Automotive Costs…</t>
  </si>
  <si>
    <t>Capital Improvements…</t>
  </si>
  <si>
    <t>Chore Service…</t>
  </si>
  <si>
    <t>Communications:</t>
  </si>
  <si>
    <t xml:space="preserve">      Dues</t>
  </si>
  <si>
    <t xml:space="preserve">      Telephone</t>
  </si>
  <si>
    <t>Contractual Costs…</t>
  </si>
  <si>
    <t xml:space="preserve">      Janitorial</t>
  </si>
  <si>
    <t xml:space="preserve">      Lawn Care</t>
  </si>
  <si>
    <t>Dance Program Costs…</t>
  </si>
  <si>
    <t>Employee Expenses…</t>
  </si>
  <si>
    <t>Employee Benefits…</t>
  </si>
  <si>
    <t>Endowment Expense…</t>
  </si>
  <si>
    <t>Equipment Expenses…</t>
  </si>
  <si>
    <t>Food Program Costs…</t>
  </si>
  <si>
    <t>Insurances…</t>
  </si>
  <si>
    <t>Legal costs…</t>
  </si>
  <si>
    <t>Newsletter Costs…</t>
  </si>
  <si>
    <t>Occupancy costs…</t>
  </si>
  <si>
    <t xml:space="preserve">     Repairs: Building</t>
  </si>
  <si>
    <t xml:space="preserve">     Rep:Equip.or Comput.</t>
  </si>
  <si>
    <t xml:space="preserve">     Office Supplies</t>
  </si>
  <si>
    <t xml:space="preserve">            Copier Contracts</t>
  </si>
  <si>
    <t xml:space="preserve">     Security System</t>
  </si>
  <si>
    <t xml:space="preserve">     Electric</t>
  </si>
  <si>
    <t xml:space="preserve">     Gas &amp; Water</t>
  </si>
  <si>
    <t>Program Costs…</t>
  </si>
  <si>
    <t>Training costs…</t>
  </si>
  <si>
    <t>Other Expense</t>
  </si>
  <si>
    <t xml:space="preserve">Income </t>
  </si>
  <si>
    <t>Expenses</t>
  </si>
  <si>
    <t>Income / Loss</t>
  </si>
  <si>
    <t>Proposed</t>
  </si>
  <si>
    <t>2008-2009</t>
  </si>
  <si>
    <t>Adult Day Care</t>
  </si>
  <si>
    <t>Nutrition</t>
  </si>
  <si>
    <t>Dances</t>
  </si>
  <si>
    <t>Visitation</t>
  </si>
  <si>
    <t>Arts Festival</t>
  </si>
  <si>
    <t>Educational</t>
  </si>
  <si>
    <t>Physical Fitness</t>
  </si>
  <si>
    <t>Health Screen</t>
  </si>
  <si>
    <t xml:space="preserve">Telephone </t>
  </si>
  <si>
    <t>Trips</t>
  </si>
  <si>
    <t>Center</t>
  </si>
  <si>
    <t>Program</t>
  </si>
  <si>
    <t>Programs</t>
  </si>
  <si>
    <t>Reassurance</t>
  </si>
  <si>
    <t>Clarksville Montgomery County Ajax Turner Senior Citizens Center</t>
  </si>
  <si>
    <t xml:space="preserve">Name </t>
  </si>
  <si>
    <t>Hourly  Rate</t>
  </si>
  <si>
    <t>Yearly Amount</t>
  </si>
  <si>
    <t>CENTER ADMIN</t>
  </si>
  <si>
    <t>Anita Atchley</t>
  </si>
  <si>
    <t>Robert Thompson</t>
  </si>
  <si>
    <t xml:space="preserve">                   Total</t>
  </si>
  <si>
    <t>NUTRITION/LUNCHES</t>
  </si>
  <si>
    <t>Marcia Marshall</t>
  </si>
  <si>
    <t xml:space="preserve">                       Total</t>
  </si>
  <si>
    <t>HANDYMAN/MAINTENANCE</t>
  </si>
  <si>
    <t xml:space="preserve">                        Total</t>
  </si>
  <si>
    <t>ADULT DAY CARE</t>
  </si>
  <si>
    <t>Grand Total</t>
  </si>
  <si>
    <t>Hrs/Wk</t>
  </si>
  <si>
    <t>Taxes</t>
  </si>
  <si>
    <t>Unemployment</t>
  </si>
  <si>
    <t>Work Comp.</t>
  </si>
  <si>
    <t>Dental Ins</t>
  </si>
  <si>
    <t>Retirement</t>
  </si>
  <si>
    <t>Health Allow</t>
  </si>
  <si>
    <t xml:space="preserve">     ADC Donations</t>
  </si>
  <si>
    <t xml:space="preserve">     Other Than Participants</t>
  </si>
  <si>
    <t xml:space="preserve">     Special Purposes</t>
  </si>
  <si>
    <t xml:space="preserve">     Toward Food</t>
  </si>
  <si>
    <t xml:space="preserve">     Other</t>
  </si>
  <si>
    <t xml:space="preserve">     Copies</t>
  </si>
  <si>
    <t>Actual</t>
  </si>
  <si>
    <t xml:space="preserve">     Memorials</t>
  </si>
  <si>
    <t xml:space="preserve">     Reserved Funds Prior Yr</t>
  </si>
  <si>
    <t xml:space="preserve">     Other Fees</t>
  </si>
  <si>
    <t xml:space="preserve">     Federal-Title III-D</t>
  </si>
  <si>
    <t>Estimated</t>
  </si>
  <si>
    <t>Jul-Dec</t>
  </si>
  <si>
    <t>(Decrease)</t>
  </si>
  <si>
    <t>Increase/</t>
  </si>
  <si>
    <t>All Other</t>
  </si>
  <si>
    <t xml:space="preserve">     Goodie Bag Donation</t>
  </si>
  <si>
    <t>2010-2011</t>
  </si>
  <si>
    <t xml:space="preserve">      Cable TV</t>
  </si>
  <si>
    <t>To ADC</t>
  </si>
  <si>
    <t>To Lunches</t>
  </si>
  <si>
    <t>Revenues</t>
  </si>
  <si>
    <t xml:space="preserve">      Internet Home Page</t>
  </si>
  <si>
    <t xml:space="preserve">     Snacks for Dances</t>
  </si>
  <si>
    <t>Budget</t>
  </si>
  <si>
    <t xml:space="preserve">     Dances: Other</t>
  </si>
  <si>
    <t xml:space="preserve">     Thrift Shop</t>
  </si>
  <si>
    <t xml:space="preserve">     Trips</t>
  </si>
  <si>
    <t xml:space="preserve">     Band Expense</t>
  </si>
  <si>
    <t xml:space="preserve">     Payroll Expenses</t>
  </si>
  <si>
    <t xml:space="preserve">     Payroll Tax Match </t>
  </si>
  <si>
    <t xml:space="preserve">     Unemployment Insurance</t>
  </si>
  <si>
    <t xml:space="preserve">     Workmans Comp. Ins.</t>
  </si>
  <si>
    <t xml:space="preserve">     Dental Insurance</t>
  </si>
  <si>
    <t xml:space="preserve">     Medical Allowance </t>
  </si>
  <si>
    <t xml:space="preserve">     Retirement Benefits</t>
  </si>
  <si>
    <t xml:space="preserve">     Other Benefits</t>
  </si>
  <si>
    <t xml:space="preserve">     Food Expense</t>
  </si>
  <si>
    <t xml:space="preserve">     Supplies:Non Food Kit.</t>
  </si>
  <si>
    <t xml:space="preserve">     Supplies:Goodie Bag </t>
  </si>
  <si>
    <t xml:space="preserve">     Audit</t>
  </si>
  <si>
    <t xml:space="preserve">     Printing</t>
  </si>
  <si>
    <t xml:space="preserve">     Postage &amp; Delivery</t>
  </si>
  <si>
    <t xml:space="preserve">     Supplies:  Ceramic</t>
  </si>
  <si>
    <t xml:space="preserve">     ADC Program Expense</t>
  </si>
  <si>
    <t xml:space="preserve">     ADC Lunches</t>
  </si>
  <si>
    <t xml:space="preserve">     Special Events Prog Exp</t>
  </si>
  <si>
    <t xml:space="preserve">     General Prog Expense</t>
  </si>
  <si>
    <t xml:space="preserve">     Thrift Shop </t>
  </si>
  <si>
    <t xml:space="preserve">     Refunds-Transp.</t>
  </si>
  <si>
    <t xml:space="preserve">     Travel</t>
  </si>
  <si>
    <t xml:space="preserve">      Automobile Expense</t>
  </si>
  <si>
    <t xml:space="preserve">      Auto Insurance</t>
  </si>
  <si>
    <t xml:space="preserve">      Repairs:  Auto</t>
  </si>
  <si>
    <t xml:space="preserve">     All Bazaars</t>
  </si>
  <si>
    <t>Heidi Shidell</t>
  </si>
  <si>
    <t xml:space="preserve">     Choices</t>
  </si>
  <si>
    <t xml:space="preserve">     Ceramics</t>
  </si>
  <si>
    <t xml:space="preserve">     Options</t>
  </si>
  <si>
    <t xml:space="preserve">     Giving Tree</t>
  </si>
  <si>
    <t>Mary Caudle</t>
  </si>
  <si>
    <t xml:space="preserve">     Liability- Board</t>
  </si>
  <si>
    <t xml:space="preserve">     Liability - General</t>
  </si>
  <si>
    <t xml:space="preserve">     Liability- ADC</t>
  </si>
  <si>
    <t xml:space="preserve">     Bonding</t>
  </si>
  <si>
    <t xml:space="preserve">     Licenses and Permits</t>
  </si>
  <si>
    <t>3% COLA</t>
  </si>
  <si>
    <t>Difference</t>
  </si>
  <si>
    <t>Ron Sellards</t>
  </si>
  <si>
    <t>WEEK END RECEPTIONIST</t>
  </si>
  <si>
    <t xml:space="preserve">     Fundraising Goal</t>
  </si>
  <si>
    <t xml:space="preserve">     Annual Membership Fees </t>
  </si>
  <si>
    <t>Janet Grier</t>
  </si>
  <si>
    <t xml:space="preserve">      Advertising/Marketing</t>
  </si>
  <si>
    <t>Janet Holleman</t>
  </si>
  <si>
    <t>2018 Budget</t>
  </si>
  <si>
    <t xml:space="preserve">     Marketing/Fundraising</t>
  </si>
  <si>
    <t xml:space="preserve">     Volunteers</t>
  </si>
  <si>
    <t>Terri Nolen</t>
  </si>
  <si>
    <t>Jessica Catlett</t>
  </si>
  <si>
    <t>2019-2020</t>
  </si>
  <si>
    <t>Lanier Moore</t>
  </si>
  <si>
    <t>Tammy Flippen</t>
  </si>
  <si>
    <t>Afternoon Receptionist</t>
  </si>
  <si>
    <t>Admin Asst</t>
  </si>
  <si>
    <t xml:space="preserve">     Other, Cleaning</t>
  </si>
  <si>
    <t xml:space="preserve">     Garbage Disposal</t>
  </si>
  <si>
    <t>Budget year 2020-2021</t>
  </si>
  <si>
    <t>2020-2021 Proposed Budget Revision</t>
  </si>
  <si>
    <t>2020-2021</t>
  </si>
  <si>
    <t>Sabine Sanders</t>
  </si>
  <si>
    <t>Martha Dicus</t>
  </si>
  <si>
    <t>Larry Hoskins</t>
  </si>
  <si>
    <t>Michele Hayward</t>
  </si>
  <si>
    <t>Colby Collins</t>
  </si>
  <si>
    <t>Cindy Earlywine</t>
  </si>
  <si>
    <t>Jenny Roecker</t>
  </si>
  <si>
    <t>Evelyn Oakley</t>
  </si>
  <si>
    <t>Hailey Lawson</t>
  </si>
  <si>
    <t>Admin Assistant</t>
  </si>
  <si>
    <t>Davon Moore</t>
  </si>
  <si>
    <t>Total</t>
  </si>
  <si>
    <t xml:space="preserve">Original </t>
  </si>
  <si>
    <t>Revised</t>
  </si>
  <si>
    <t>2020-2021 Proposed Budget Revision 3</t>
  </si>
  <si>
    <t>2020-2021 Proposed Budget Revision 2</t>
  </si>
  <si>
    <t>2020-2021 Proposed Budget Revision 1</t>
  </si>
  <si>
    <t>ADC Helper</t>
  </si>
  <si>
    <t xml:space="preserve">     PPP</t>
  </si>
  <si>
    <t>2020-2021 Proposed Budget Revision 4</t>
  </si>
  <si>
    <t>2020-2021 Proposed Budget Revision 4a</t>
  </si>
  <si>
    <t>$2 inc</t>
  </si>
  <si>
    <t xml:space="preserve">     Federal-Title III-B CARES</t>
  </si>
  <si>
    <t xml:space="preserve">     Options- CARES</t>
  </si>
  <si>
    <t>2020-2021 Proposed Budget Revision R4 3</t>
  </si>
  <si>
    <t>P/Y Budget</t>
  </si>
  <si>
    <t>PY Budget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</si>
</sst>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\-mmm\-yy;@"/>
    <numFmt numFmtId="166" formatCode="_(&quot;$&quot;* #,##0_);_(&quot;$&quot;* \(#,##0\);_(&quot;$&quot;* &quot;-&quot;??_);_(@_)"/>
    <numFmt numFmtId="167" formatCode="_(&quot;$&quot;* #,##0.000_);_(&quot;$&quot;* \(#,##0.000\);_(&quot;$&quot;* &quot;-&quot;???_);_(@_)"/>
    <numFmt numFmtId="168" formatCode="_(&quot;$&quot;* #,##0.0000_);_(&quot;$&quot;* \(#,##0.0000\);_(&quot;$&quot;* &quot;-&quot;????_);_(@_)"/>
  </numFmts>
  <fonts count="48">
    <font>
      <sz val="10"/>
      <name val="Arial"/>
      <family val="0"/>
    </font>
    <font>
      <sz val="14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dashed"/>
      <right style="dashed"/>
      <top style="dashed"/>
      <bottom style="dashed"/>
    </border>
    <border>
      <left style="hair"/>
      <right style="hair"/>
      <top style="dashed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2" fontId="0" fillId="0" borderId="13" xfId="0" applyNumberFormat="1" applyBorder="1" applyAlignment="1">
      <alignment horizontal="center"/>
    </xf>
    <xf numFmtId="42" fontId="0" fillId="0" borderId="0" xfId="0" applyNumberFormat="1" applyAlignment="1">
      <alignment/>
    </xf>
    <xf numFmtId="42" fontId="0" fillId="0" borderId="14" xfId="0" applyNumberFormat="1" applyBorder="1" applyAlignment="1">
      <alignment horizontal="center"/>
    </xf>
    <xf numFmtId="42" fontId="0" fillId="0" borderId="15" xfId="0" applyNumberFormat="1" applyBorder="1" applyAlignment="1">
      <alignment horizontal="center"/>
    </xf>
    <xf numFmtId="42" fontId="0" fillId="33" borderId="0" xfId="0" applyNumberFormat="1" applyFill="1" applyBorder="1" applyAlignment="1">
      <alignment/>
    </xf>
    <xf numFmtId="42" fontId="0" fillId="0" borderId="16" xfId="0" applyNumberFormat="1" applyBorder="1" applyAlignment="1">
      <alignment/>
    </xf>
    <xf numFmtId="42" fontId="0" fillId="34" borderId="17" xfId="0" applyNumberFormat="1" applyFill="1" applyBorder="1" applyAlignment="1">
      <alignment/>
    </xf>
    <xf numFmtId="42" fontId="0" fillId="33" borderId="0" xfId="0" applyNumberFormat="1" applyFill="1" applyAlignment="1">
      <alignment/>
    </xf>
    <xf numFmtId="42" fontId="0" fillId="33" borderId="18" xfId="0" applyNumberFormat="1" applyFill="1" applyBorder="1" applyAlignment="1">
      <alignment/>
    </xf>
    <xf numFmtId="42" fontId="0" fillId="34" borderId="19" xfId="0" applyNumberFormat="1" applyFill="1" applyBorder="1" applyAlignment="1">
      <alignment/>
    </xf>
    <xf numFmtId="42" fontId="0" fillId="0" borderId="15" xfId="0" applyNumberFormat="1" applyBorder="1" applyAlignment="1">
      <alignment/>
    </xf>
    <xf numFmtId="42" fontId="0" fillId="34" borderId="20" xfId="0" applyNumberFormat="1" applyFill="1" applyBorder="1" applyAlignment="1">
      <alignment/>
    </xf>
    <xf numFmtId="42" fontId="6" fillId="35" borderId="16" xfId="0" applyNumberFormat="1" applyFont="1" applyFill="1" applyBorder="1" applyAlignment="1">
      <alignment/>
    </xf>
    <xf numFmtId="42" fontId="6" fillId="35" borderId="14" xfId="0" applyNumberFormat="1" applyFont="1" applyFill="1" applyBorder="1" applyAlignment="1">
      <alignment/>
    </xf>
    <xf numFmtId="42" fontId="6" fillId="34" borderId="21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0" fontId="8" fillId="0" borderId="0" xfId="0" applyFont="1" applyAlignment="1">
      <alignment/>
    </xf>
    <xf numFmtId="44" fontId="0" fillId="0" borderId="22" xfId="0" applyNumberFormat="1" applyBorder="1" applyAlignment="1">
      <alignment/>
    </xf>
    <xf numFmtId="0" fontId="0" fillId="33" borderId="0" xfId="0" applyFill="1" applyAlignment="1">
      <alignment/>
    </xf>
    <xf numFmtId="44" fontId="0" fillId="34" borderId="23" xfId="0" applyNumberFormat="1" applyFill="1" applyBorder="1" applyAlignment="1">
      <alignment/>
    </xf>
    <xf numFmtId="0" fontId="0" fillId="34" borderId="23" xfId="0" applyFill="1" applyBorder="1" applyAlignment="1">
      <alignment/>
    </xf>
    <xf numFmtId="44" fontId="0" fillId="0" borderId="23" xfId="0" applyNumberFormat="1" applyFill="1" applyBorder="1" applyAlignment="1">
      <alignment/>
    </xf>
    <xf numFmtId="0" fontId="0" fillId="0" borderId="23" xfId="0" applyFill="1" applyBorder="1" applyAlignment="1">
      <alignment/>
    </xf>
    <xf numFmtId="44" fontId="0" fillId="0" borderId="24" xfId="0" applyNumberFormat="1" applyFill="1" applyBorder="1" applyAlignment="1">
      <alignment/>
    </xf>
    <xf numFmtId="44" fontId="0" fillId="34" borderId="23" xfId="44" applyFont="1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44" fontId="0" fillId="0" borderId="23" xfId="44" applyFont="1" applyFill="1" applyBorder="1" applyAlignment="1">
      <alignment/>
    </xf>
    <xf numFmtId="44" fontId="0" fillId="0" borderId="24" xfId="44" applyFont="1" applyFill="1" applyBorder="1" applyAlignment="1">
      <alignment/>
    </xf>
    <xf numFmtId="0" fontId="0" fillId="0" borderId="0" xfId="0" applyNumberFormat="1" applyAlignment="1">
      <alignment/>
    </xf>
    <xf numFmtId="10" fontId="0" fillId="0" borderId="0" xfId="0" applyNumberFormat="1" applyAlignment="1">
      <alignment/>
    </xf>
    <xf numFmtId="42" fontId="0" fillId="33" borderId="13" xfId="0" applyNumberFormat="1" applyFill="1" applyBorder="1" applyAlignment="1">
      <alignment horizontal="center"/>
    </xf>
    <xf numFmtId="42" fontId="0" fillId="33" borderId="14" xfId="0" applyNumberFormat="1" applyFill="1" applyBorder="1" applyAlignment="1">
      <alignment horizontal="center"/>
    </xf>
    <xf numFmtId="42" fontId="6" fillId="33" borderId="16" xfId="0" applyNumberFormat="1" applyFont="1" applyFill="1" applyBorder="1" applyAlignment="1">
      <alignment/>
    </xf>
    <xf numFmtId="42" fontId="6" fillId="33" borderId="14" xfId="0" applyNumberFormat="1" applyFont="1" applyFill="1" applyBorder="1" applyAlignment="1">
      <alignment/>
    </xf>
    <xf numFmtId="42" fontId="6" fillId="33" borderId="21" xfId="0" applyNumberFormat="1" applyFont="1" applyFill="1" applyBorder="1" applyAlignment="1">
      <alignment/>
    </xf>
    <xf numFmtId="42" fontId="6" fillId="0" borderId="25" xfId="44" applyNumberFormat="1" applyFont="1" applyFill="1" applyBorder="1" applyAlignment="1">
      <alignment/>
    </xf>
    <xf numFmtId="42" fontId="0" fillId="34" borderId="26" xfId="0" applyNumberFormat="1" applyFill="1" applyBorder="1" applyAlignment="1">
      <alignment/>
    </xf>
    <xf numFmtId="42" fontId="7" fillId="36" borderId="23" xfId="44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34" borderId="11" xfId="0" applyFont="1" applyFill="1" applyBorder="1" applyAlignment="1">
      <alignment horizontal="right"/>
    </xf>
    <xf numFmtId="0" fontId="4" fillId="34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5" fillId="33" borderId="11" xfId="0" applyFont="1" applyFill="1" applyBorder="1" applyAlignment="1">
      <alignment/>
    </xf>
    <xf numFmtId="42" fontId="0" fillId="33" borderId="16" xfId="0" applyNumberFormat="1" applyFill="1" applyBorder="1" applyAlignment="1">
      <alignment horizontal="center"/>
    </xf>
    <xf numFmtId="42" fontId="0" fillId="0" borderId="16" xfId="0" applyNumberFormat="1" applyBorder="1" applyAlignment="1">
      <alignment horizontal="center"/>
    </xf>
    <xf numFmtId="42" fontId="0" fillId="0" borderId="0" xfId="0" applyNumberFormat="1" applyBorder="1" applyAlignment="1">
      <alignment horizontal="center"/>
    </xf>
    <xf numFmtId="0" fontId="12" fillId="0" borderId="10" xfId="0" applyFont="1" applyBorder="1" applyAlignment="1">
      <alignment horizontal="center"/>
    </xf>
    <xf numFmtId="42" fontId="6" fillId="34" borderId="16" xfId="0" applyNumberFormat="1" applyFont="1" applyFill="1" applyBorder="1" applyAlignment="1">
      <alignment/>
    </xf>
    <xf numFmtId="42" fontId="0" fillId="33" borderId="27" xfId="0" applyNumberFormat="1" applyFill="1" applyBorder="1" applyAlignment="1">
      <alignment horizontal="center"/>
    </xf>
    <xf numFmtId="42" fontId="0" fillId="0" borderId="27" xfId="0" applyNumberFormat="1" applyBorder="1" applyAlignment="1">
      <alignment horizontal="center"/>
    </xf>
    <xf numFmtId="44" fontId="8" fillId="0" borderId="0" xfId="0" applyNumberFormat="1" applyFont="1" applyAlignment="1">
      <alignment/>
    </xf>
    <xf numFmtId="0" fontId="12" fillId="0" borderId="0" xfId="0" applyFont="1" applyAlignment="1">
      <alignment/>
    </xf>
    <xf numFmtId="42" fontId="0" fillId="0" borderId="0" xfId="0" applyNumberFormat="1" applyAlignment="1">
      <alignment/>
    </xf>
    <xf numFmtId="42" fontId="3" fillId="0" borderId="16" xfId="44" applyNumberFormat="1" applyFont="1" applyBorder="1" applyAlignment="1">
      <alignment/>
    </xf>
    <xf numFmtId="42" fontId="3" fillId="0" borderId="16" xfId="44" applyNumberFormat="1" applyFont="1" applyFill="1" applyBorder="1" applyAlignment="1">
      <alignment/>
    </xf>
    <xf numFmtId="42" fontId="3" fillId="0" borderId="14" xfId="44" applyNumberFormat="1" applyFont="1" applyFill="1" applyBorder="1" applyAlignment="1">
      <alignment/>
    </xf>
    <xf numFmtId="42" fontId="3" fillId="0" borderId="27" xfId="44" applyNumberFormat="1" applyFont="1" applyFill="1" applyBorder="1" applyAlignment="1">
      <alignment/>
    </xf>
    <xf numFmtId="42" fontId="3" fillId="0" borderId="14" xfId="44" applyNumberFormat="1" applyFont="1" applyBorder="1" applyAlignment="1">
      <alignment/>
    </xf>
    <xf numFmtId="42" fontId="6" fillId="0" borderId="16" xfId="44" applyNumberFormat="1" applyFont="1" applyFill="1" applyBorder="1" applyAlignment="1">
      <alignment/>
    </xf>
    <xf numFmtId="0" fontId="1" fillId="0" borderId="28" xfId="0" applyFont="1" applyBorder="1" applyAlignment="1">
      <alignment/>
    </xf>
    <xf numFmtId="0" fontId="4" fillId="0" borderId="11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" fillId="0" borderId="29" xfId="0" applyFont="1" applyBorder="1" applyAlignment="1">
      <alignment/>
    </xf>
    <xf numFmtId="0" fontId="6" fillId="35" borderId="12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42" fontId="0" fillId="37" borderId="30" xfId="0" applyNumberFormat="1" applyFill="1" applyBorder="1" applyAlignment="1">
      <alignment horizontal="center"/>
    </xf>
    <xf numFmtId="42" fontId="0" fillId="37" borderId="31" xfId="0" applyNumberFormat="1" applyFill="1" applyBorder="1" applyAlignment="1">
      <alignment horizontal="center"/>
    </xf>
    <xf numFmtId="42" fontId="0" fillId="37" borderId="22" xfId="0" applyNumberFormat="1" applyFill="1" applyBorder="1" applyAlignment="1">
      <alignment horizontal="center"/>
    </xf>
    <xf numFmtId="42" fontId="6" fillId="37" borderId="22" xfId="0" applyNumberFormat="1" applyFont="1" applyFill="1" applyBorder="1" applyAlignment="1">
      <alignment/>
    </xf>
    <xf numFmtId="42" fontId="0" fillId="37" borderId="32" xfId="0" applyNumberFormat="1" applyFill="1" applyBorder="1" applyAlignment="1">
      <alignment horizontal="center"/>
    </xf>
    <xf numFmtId="42" fontId="6" fillId="37" borderId="31" xfId="0" applyNumberFormat="1" applyFont="1" applyFill="1" applyBorder="1" applyAlignment="1">
      <alignment/>
    </xf>
    <xf numFmtId="42" fontId="6" fillId="37" borderId="33" xfId="0" applyNumberFormat="1" applyFont="1" applyFill="1" applyBorder="1" applyAlignment="1">
      <alignment/>
    </xf>
    <xf numFmtId="42" fontId="0" fillId="35" borderId="34" xfId="0" applyNumberFormat="1" applyFill="1" applyBorder="1" applyAlignment="1">
      <alignment horizontal="center"/>
    </xf>
    <xf numFmtId="42" fontId="0" fillId="35" borderId="35" xfId="0" applyNumberFormat="1" applyFill="1" applyBorder="1" applyAlignment="1">
      <alignment horizontal="center"/>
    </xf>
    <xf numFmtId="42" fontId="0" fillId="35" borderId="36" xfId="0" applyNumberFormat="1" applyFill="1" applyBorder="1" applyAlignment="1">
      <alignment horizontal="center"/>
    </xf>
    <xf numFmtId="42" fontId="6" fillId="35" borderId="36" xfId="0" applyNumberFormat="1" applyFont="1" applyFill="1" applyBorder="1" applyAlignment="1">
      <alignment/>
    </xf>
    <xf numFmtId="42" fontId="0" fillId="35" borderId="37" xfId="0" applyNumberFormat="1" applyFill="1" applyBorder="1" applyAlignment="1">
      <alignment horizontal="center"/>
    </xf>
    <xf numFmtId="42" fontId="6" fillId="35" borderId="35" xfId="0" applyNumberFormat="1" applyFont="1" applyFill="1" applyBorder="1" applyAlignment="1">
      <alignment/>
    </xf>
    <xf numFmtId="42" fontId="6" fillId="35" borderId="38" xfId="0" applyNumberFormat="1" applyFont="1" applyFill="1" applyBorder="1" applyAlignment="1">
      <alignment/>
    </xf>
    <xf numFmtId="42" fontId="3" fillId="33" borderId="16" xfId="44" applyNumberFormat="1" applyFont="1" applyFill="1" applyBorder="1" applyAlignment="1">
      <alignment/>
    </xf>
    <xf numFmtId="42" fontId="6" fillId="33" borderId="16" xfId="44" applyNumberFormat="1" applyFont="1" applyFill="1" applyBorder="1" applyAlignment="1">
      <alignment/>
    </xf>
    <xf numFmtId="44" fontId="0" fillId="33" borderId="0" xfId="0" applyNumberFormat="1" applyFill="1" applyAlignment="1">
      <alignment/>
    </xf>
    <xf numFmtId="42" fontId="8" fillId="0" borderId="0" xfId="0" applyNumberFormat="1" applyFont="1" applyAlignment="1">
      <alignment/>
    </xf>
    <xf numFmtId="42" fontId="4" fillId="0" borderId="39" xfId="44" applyNumberFormat="1" applyFont="1" applyFill="1" applyBorder="1" applyAlignment="1">
      <alignment/>
    </xf>
    <xf numFmtId="41" fontId="8" fillId="35" borderId="40" xfId="0" applyNumberFormat="1" applyFont="1" applyFill="1" applyBorder="1" applyAlignment="1">
      <alignment horizontal="center"/>
    </xf>
    <xf numFmtId="44" fontId="8" fillId="35" borderId="40" xfId="0" applyNumberFormat="1" applyFont="1" applyFill="1" applyBorder="1" applyAlignment="1">
      <alignment/>
    </xf>
    <xf numFmtId="42" fontId="0" fillId="35" borderId="41" xfId="0" applyNumberFormat="1" applyFill="1" applyBorder="1" applyAlignment="1">
      <alignment horizontal="center"/>
    </xf>
    <xf numFmtId="42" fontId="6" fillId="34" borderId="39" xfId="44" applyNumberFormat="1" applyFont="1" applyFill="1" applyBorder="1" applyAlignment="1">
      <alignment/>
    </xf>
    <xf numFmtId="42" fontId="6" fillId="0" borderId="15" xfId="44" applyNumberFormat="1" applyFont="1" applyFill="1" applyBorder="1" applyAlignment="1">
      <alignment/>
    </xf>
    <xf numFmtId="44" fontId="0" fillId="0" borderId="0" xfId="44" applyFont="1" applyFill="1" applyBorder="1" applyAlignment="1">
      <alignment/>
    </xf>
    <xf numFmtId="44" fontId="0" fillId="0" borderId="42" xfId="44" applyFont="1" applyFill="1" applyBorder="1" applyAlignment="1">
      <alignment/>
    </xf>
    <xf numFmtId="44" fontId="0" fillId="0" borderId="42" xfId="0" applyNumberFormat="1" applyFill="1" applyBorder="1" applyAlignment="1">
      <alignment/>
    </xf>
    <xf numFmtId="0" fontId="0" fillId="0" borderId="0" xfId="0" applyFont="1" applyAlignment="1">
      <alignment/>
    </xf>
    <xf numFmtId="42" fontId="6" fillId="0" borderId="27" xfId="44" applyNumberFormat="1" applyFont="1" applyFill="1" applyBorder="1" applyAlignment="1">
      <alignment horizontal="center"/>
    </xf>
    <xf numFmtId="42" fontId="3" fillId="0" borderId="14" xfId="44" applyNumberFormat="1" applyFont="1" applyFill="1" applyBorder="1" applyAlignment="1">
      <alignment horizontal="center"/>
    </xf>
    <xf numFmtId="42" fontId="6" fillId="0" borderId="14" xfId="44" applyNumberFormat="1" applyFont="1" applyFill="1" applyBorder="1" applyAlignment="1">
      <alignment horizontal="center"/>
    </xf>
    <xf numFmtId="42" fontId="13" fillId="36" borderId="0" xfId="44" applyNumberFormat="1" applyFont="1" applyFill="1" applyBorder="1" applyAlignment="1">
      <alignment/>
    </xf>
    <xf numFmtId="44" fontId="13" fillId="36" borderId="0" xfId="44" applyNumberFormat="1" applyFont="1" applyFill="1" applyBorder="1" applyAlignment="1">
      <alignment/>
    </xf>
    <xf numFmtId="42" fontId="6" fillId="0" borderId="16" xfId="44" applyNumberFormat="1" applyFont="1" applyBorder="1" applyAlignment="1">
      <alignment/>
    </xf>
    <xf numFmtId="42" fontId="6" fillId="0" borderId="43" xfId="44" applyNumberFormat="1" applyFont="1" applyFill="1" applyBorder="1" applyAlignment="1">
      <alignment/>
    </xf>
    <xf numFmtId="42" fontId="6" fillId="33" borderId="14" xfId="44" applyNumberFormat="1" applyFont="1" applyFill="1" applyBorder="1" applyAlignment="1">
      <alignment/>
    </xf>
    <xf numFmtId="42" fontId="6" fillId="0" borderId="14" xfId="44" applyNumberFormat="1" applyFont="1" applyBorder="1" applyAlignment="1">
      <alignment/>
    </xf>
    <xf numFmtId="42" fontId="6" fillId="34" borderId="16" xfId="44" applyNumberFormat="1" applyFont="1" applyFill="1" applyBorder="1" applyAlignment="1">
      <alignment/>
    </xf>
    <xf numFmtId="42" fontId="6" fillId="34" borderId="43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2" fontId="3" fillId="0" borderId="44" xfId="44" applyNumberFormat="1" applyFont="1" applyFill="1" applyBorder="1" applyAlignment="1">
      <alignment horizontal="center"/>
    </xf>
    <xf numFmtId="42" fontId="6" fillId="0" borderId="45" xfId="44" applyNumberFormat="1" applyFont="1" applyFill="1" applyBorder="1" applyAlignment="1">
      <alignment horizontal="center"/>
    </xf>
    <xf numFmtId="42" fontId="6" fillId="0" borderId="41" xfId="44" applyNumberFormat="1" applyFont="1" applyFill="1" applyBorder="1" applyAlignment="1">
      <alignment horizontal="center"/>
    </xf>
    <xf numFmtId="42" fontId="6" fillId="0" borderId="16" xfId="44" applyNumberFormat="1" applyFont="1" applyFill="1" applyBorder="1" applyAlignment="1">
      <alignment horizontal="center"/>
    </xf>
    <xf numFmtId="42" fontId="6" fillId="0" borderId="39" xfId="44" applyNumberFormat="1" applyFont="1" applyFill="1" applyBorder="1" applyAlignment="1">
      <alignment horizontal="center"/>
    </xf>
    <xf numFmtId="42" fontId="3" fillId="0" borderId="39" xfId="44" applyNumberFormat="1" applyFont="1" applyFill="1" applyBorder="1" applyAlignment="1">
      <alignment horizontal="center"/>
    </xf>
    <xf numFmtId="42" fontId="6" fillId="0" borderId="46" xfId="44" applyNumberFormat="1" applyFont="1" applyFill="1" applyBorder="1" applyAlignment="1">
      <alignment horizontal="center"/>
    </xf>
    <xf numFmtId="42" fontId="3" fillId="33" borderId="39" xfId="44" applyNumberFormat="1" applyFont="1" applyFill="1" applyBorder="1" applyAlignment="1">
      <alignment/>
    </xf>
    <xf numFmtId="42" fontId="6" fillId="33" borderId="46" xfId="44" applyNumberFormat="1" applyFont="1" applyFill="1" applyBorder="1" applyAlignment="1">
      <alignment/>
    </xf>
    <xf numFmtId="42" fontId="3" fillId="0" borderId="39" xfId="44" applyNumberFormat="1" applyFont="1" applyFill="1" applyBorder="1" applyAlignment="1">
      <alignment/>
    </xf>
    <xf numFmtId="42" fontId="6" fillId="0" borderId="46" xfId="44" applyNumberFormat="1" applyFont="1" applyFill="1" applyBorder="1" applyAlignment="1">
      <alignment/>
    </xf>
    <xf numFmtId="42" fontId="6" fillId="35" borderId="36" xfId="44" applyNumberFormat="1" applyFont="1" applyFill="1" applyBorder="1" applyAlignment="1">
      <alignment/>
    </xf>
    <xf numFmtId="42" fontId="6" fillId="37" borderId="22" xfId="44" applyNumberFormat="1" applyFont="1" applyFill="1" applyBorder="1" applyAlignment="1">
      <alignment/>
    </xf>
    <xf numFmtId="42" fontId="6" fillId="35" borderId="16" xfId="44" applyNumberFormat="1" applyFont="1" applyFill="1" applyBorder="1" applyAlignment="1">
      <alignment/>
    </xf>
    <xf numFmtId="42" fontId="3" fillId="0" borderId="25" xfId="44" applyNumberFormat="1" applyFont="1" applyFill="1" applyBorder="1" applyAlignment="1">
      <alignment/>
    </xf>
    <xf numFmtId="42" fontId="6" fillId="0" borderId="47" xfId="44" applyNumberFormat="1" applyFont="1" applyFill="1" applyBorder="1" applyAlignment="1">
      <alignment/>
    </xf>
    <xf numFmtId="42" fontId="6" fillId="35" borderId="48" xfId="44" applyNumberFormat="1" applyFont="1" applyFill="1" applyBorder="1" applyAlignment="1">
      <alignment/>
    </xf>
    <xf numFmtId="42" fontId="6" fillId="37" borderId="49" xfId="44" applyNumberFormat="1" applyFont="1" applyFill="1" applyBorder="1" applyAlignment="1">
      <alignment/>
    </xf>
    <xf numFmtId="42" fontId="6" fillId="33" borderId="43" xfId="44" applyNumberFormat="1" applyFont="1" applyFill="1" applyBorder="1" applyAlignment="1">
      <alignment/>
    </xf>
    <xf numFmtId="42" fontId="6" fillId="34" borderId="43" xfId="44" applyNumberFormat="1" applyFont="1" applyFill="1" applyBorder="1" applyAlignment="1">
      <alignment/>
    </xf>
    <xf numFmtId="42" fontId="6" fillId="33" borderId="39" xfId="44" applyNumberFormat="1" applyFont="1" applyFill="1" applyBorder="1" applyAlignment="1">
      <alignment/>
    </xf>
    <xf numFmtId="42" fontId="6" fillId="33" borderId="18" xfId="44" applyNumberFormat="1" applyFont="1" applyFill="1" applyBorder="1" applyAlignment="1">
      <alignment/>
    </xf>
    <xf numFmtId="42" fontId="3" fillId="33" borderId="18" xfId="44" applyNumberFormat="1" applyFont="1" applyFill="1" applyBorder="1" applyAlignment="1">
      <alignment/>
    </xf>
    <xf numFmtId="42" fontId="6" fillId="33" borderId="41" xfId="44" applyNumberFormat="1" applyFont="1" applyFill="1" applyBorder="1" applyAlignment="1">
      <alignment/>
    </xf>
    <xf numFmtId="42" fontId="6" fillId="35" borderId="35" xfId="44" applyNumberFormat="1" applyFont="1" applyFill="1" applyBorder="1" applyAlignment="1">
      <alignment/>
    </xf>
    <xf numFmtId="42" fontId="6" fillId="37" borderId="31" xfId="44" applyNumberFormat="1" applyFont="1" applyFill="1" applyBorder="1" applyAlignment="1">
      <alignment/>
    </xf>
    <xf numFmtId="42" fontId="6" fillId="0" borderId="50" xfId="44" applyNumberFormat="1" applyFont="1" applyFill="1" applyBorder="1" applyAlignment="1">
      <alignment/>
    </xf>
    <xf numFmtId="42" fontId="6" fillId="0" borderId="46" xfId="44" applyNumberFormat="1" applyFont="1" applyBorder="1" applyAlignment="1">
      <alignment/>
    </xf>
    <xf numFmtId="42" fontId="3" fillId="0" borderId="43" xfId="44" applyNumberFormat="1" applyFont="1" applyFill="1" applyBorder="1" applyAlignment="1">
      <alignment/>
    </xf>
    <xf numFmtId="42" fontId="6" fillId="33" borderId="27" xfId="44" applyNumberFormat="1" applyFont="1" applyFill="1" applyBorder="1" applyAlignment="1">
      <alignment/>
    </xf>
    <xf numFmtId="42" fontId="6" fillId="0" borderId="18" xfId="44" applyNumberFormat="1" applyFont="1" applyBorder="1" applyAlignment="1">
      <alignment/>
    </xf>
    <xf numFmtId="42" fontId="6" fillId="35" borderId="14" xfId="44" applyNumberFormat="1" applyFont="1" applyFill="1" applyBorder="1" applyAlignment="1">
      <alignment/>
    </xf>
    <xf numFmtId="42" fontId="6" fillId="0" borderId="39" xfId="44" applyNumberFormat="1" applyFont="1" applyBorder="1" applyAlignment="1">
      <alignment/>
    </xf>
    <xf numFmtId="42" fontId="3" fillId="34" borderId="39" xfId="44" applyNumberFormat="1" applyFont="1" applyFill="1" applyBorder="1" applyAlignment="1">
      <alignment/>
    </xf>
    <xf numFmtId="42" fontId="6" fillId="34" borderId="46" xfId="44" applyNumberFormat="1" applyFont="1" applyFill="1" applyBorder="1" applyAlignment="1">
      <alignment/>
    </xf>
    <xf numFmtId="42" fontId="6" fillId="35" borderId="51" xfId="44" applyNumberFormat="1" applyFont="1" applyFill="1" applyBorder="1" applyAlignment="1">
      <alignment/>
    </xf>
    <xf numFmtId="42" fontId="6" fillId="37" borderId="52" xfId="44" applyNumberFormat="1" applyFont="1" applyFill="1" applyBorder="1" applyAlignment="1">
      <alignment/>
    </xf>
    <xf numFmtId="42" fontId="6" fillId="33" borderId="53" xfId="44" applyNumberFormat="1" applyFont="1" applyFill="1" applyBorder="1" applyAlignment="1">
      <alignment/>
    </xf>
    <xf numFmtId="42" fontId="6" fillId="34" borderId="53" xfId="44" applyNumberFormat="1" applyFont="1" applyFill="1" applyBorder="1" applyAlignment="1">
      <alignment/>
    </xf>
    <xf numFmtId="42" fontId="3" fillId="0" borderId="15" xfId="44" applyNumberFormat="1" applyFont="1" applyFill="1" applyBorder="1" applyAlignment="1">
      <alignment/>
    </xf>
    <xf numFmtId="42" fontId="6" fillId="35" borderId="46" xfId="44" applyNumberFormat="1" applyFont="1" applyFill="1" applyBorder="1" applyAlignment="1">
      <alignment/>
    </xf>
    <xf numFmtId="42" fontId="6" fillId="0" borderId="32" xfId="44" applyNumberFormat="1" applyFont="1" applyFill="1" applyBorder="1" applyAlignment="1">
      <alignment horizontal="center"/>
    </xf>
    <xf numFmtId="42" fontId="6" fillId="0" borderId="54" xfId="44" applyNumberFormat="1" applyFont="1" applyFill="1" applyBorder="1" applyAlignment="1">
      <alignment horizontal="center"/>
    </xf>
    <xf numFmtId="42" fontId="6" fillId="38" borderId="46" xfId="44" applyNumberFormat="1" applyFont="1" applyFill="1" applyBorder="1" applyAlignment="1">
      <alignment/>
    </xf>
    <xf numFmtId="42" fontId="6" fillId="36" borderId="16" xfId="44" applyNumberFormat="1" applyFont="1" applyFill="1" applyBorder="1" applyAlignment="1">
      <alignment/>
    </xf>
    <xf numFmtId="42" fontId="6" fillId="0" borderId="41" xfId="44" applyNumberFormat="1" applyFont="1" applyBorder="1" applyAlignment="1">
      <alignment/>
    </xf>
    <xf numFmtId="42" fontId="6" fillId="0" borderId="14" xfId="44" applyNumberFormat="1" applyFont="1" applyFill="1" applyBorder="1" applyAlignment="1">
      <alignment/>
    </xf>
    <xf numFmtId="42" fontId="6" fillId="34" borderId="39" xfId="0" applyNumberFormat="1" applyFont="1" applyFill="1" applyBorder="1" applyAlignment="1">
      <alignment/>
    </xf>
    <xf numFmtId="42" fontId="3" fillId="34" borderId="44" xfId="0" applyNumberFormat="1" applyFont="1" applyFill="1" applyBorder="1" applyAlignment="1">
      <alignment/>
    </xf>
    <xf numFmtId="42" fontId="6" fillId="34" borderId="46" xfId="0" applyNumberFormat="1" applyFont="1" applyFill="1" applyBorder="1" applyAlignment="1">
      <alignment/>
    </xf>
    <xf numFmtId="42" fontId="3" fillId="0" borderId="18" xfId="44" applyNumberFormat="1" applyFont="1" applyFill="1" applyBorder="1" applyAlignment="1">
      <alignment horizontal="center"/>
    </xf>
    <xf numFmtId="42" fontId="3" fillId="35" borderId="39" xfId="0" applyNumberFormat="1" applyFont="1" applyFill="1" applyBorder="1" applyAlignment="1">
      <alignment/>
    </xf>
    <xf numFmtId="42" fontId="3" fillId="35" borderId="18" xfId="0" applyNumberFormat="1" applyFont="1" applyFill="1" applyBorder="1" applyAlignment="1">
      <alignment/>
    </xf>
    <xf numFmtId="42" fontId="6" fillId="35" borderId="41" xfId="44" applyNumberFormat="1" applyFont="1" applyFill="1" applyBorder="1" applyAlignment="1">
      <alignment/>
    </xf>
    <xf numFmtId="42" fontId="3" fillId="34" borderId="25" xfId="0" applyNumberFormat="1" applyFont="1" applyFill="1" applyBorder="1" applyAlignment="1">
      <alignment/>
    </xf>
    <xf numFmtId="42" fontId="6" fillId="34" borderId="47" xfId="0" applyNumberFormat="1" applyFont="1" applyFill="1" applyBorder="1" applyAlignment="1">
      <alignment/>
    </xf>
    <xf numFmtId="42" fontId="3" fillId="34" borderId="16" xfId="0" applyNumberFormat="1" applyFont="1" applyFill="1" applyBorder="1" applyAlignment="1">
      <alignment/>
    </xf>
    <xf numFmtId="42" fontId="3" fillId="0" borderId="0" xfId="0" applyNumberFormat="1" applyFont="1" applyAlignment="1">
      <alignment/>
    </xf>
    <xf numFmtId="44" fontId="0" fillId="0" borderId="0" xfId="0" applyNumberFormat="1" applyFill="1" applyBorder="1" applyAlignment="1">
      <alignment/>
    </xf>
    <xf numFmtId="44" fontId="0" fillId="34" borderId="42" xfId="44" applyFont="1" applyFill="1" applyBorder="1" applyAlignment="1">
      <alignment/>
    </xf>
    <xf numFmtId="44" fontId="0" fillId="34" borderId="42" xfId="0" applyNumberFormat="1" applyFill="1" applyBorder="1" applyAlignment="1">
      <alignment/>
    </xf>
    <xf numFmtId="44" fontId="0" fillId="34" borderId="55" xfId="44" applyFont="1" applyFill="1" applyBorder="1" applyAlignment="1">
      <alignment/>
    </xf>
    <xf numFmtId="44" fontId="0" fillId="34" borderId="55" xfId="0" applyNumberFormat="1" applyFill="1" applyBorder="1" applyAlignment="1">
      <alignment/>
    </xf>
    <xf numFmtId="44" fontId="0" fillId="0" borderId="55" xfId="0" applyNumberFormat="1" applyFill="1" applyBorder="1" applyAlignment="1">
      <alignment/>
    </xf>
    <xf numFmtId="0" fontId="0" fillId="0" borderId="0" xfId="0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44" fontId="0" fillId="34" borderId="56" xfId="44" applyFont="1" applyFill="1" applyBorder="1" applyAlignment="1">
      <alignment/>
    </xf>
    <xf numFmtId="44" fontId="0" fillId="34" borderId="56" xfId="0" applyNumberFormat="1" applyFill="1" applyBorder="1" applyAlignment="1">
      <alignment/>
    </xf>
    <xf numFmtId="44" fontId="8" fillId="35" borderId="40" xfId="0" applyNumberFormat="1" applyFont="1" applyFill="1" applyBorder="1" applyAlignment="1">
      <alignment horizontal="center"/>
    </xf>
    <xf numFmtId="42" fontId="6" fillId="37" borderId="29" xfId="44" applyNumberFormat="1" applyFont="1" applyFill="1" applyBorder="1" applyAlignment="1">
      <alignment/>
    </xf>
    <xf numFmtId="8" fontId="0" fillId="0" borderId="0" xfId="0" applyNumberFormat="1" applyAlignment="1">
      <alignment/>
    </xf>
    <xf numFmtId="13" fontId="0" fillId="0" borderId="0" xfId="0" applyNumberFormat="1" applyAlignment="1">
      <alignment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5"/>
  <sheetViews>
    <sheetView view="pageBreakPreview" zoomScaleSheetLayoutView="100" zoomScalePageLayoutView="0" workbookViewId="0" topLeftCell="A1">
      <pane xSplit="1" ySplit="4" topLeftCell="B107" activePane="bottomRight" state="frozen"/>
      <selection pane="topLeft" activeCell="K112" sqref="K112"/>
      <selection pane="topRight" activeCell="K112" sqref="K112"/>
      <selection pane="bottomLeft" activeCell="K112" sqref="K112"/>
      <selection pane="bottomRight" activeCell="E87" sqref="E87:E90"/>
    </sheetView>
  </sheetViews>
  <sheetFormatPr defaultColWidth="9.140625" defaultRowHeight="12.75"/>
  <cols>
    <col min="1" max="1" width="34.421875" style="0" customWidth="1"/>
    <col min="2" max="2" width="13.140625" style="3" customWidth="1"/>
    <col min="3" max="3" width="13.7109375" style="7" hidden="1" customWidth="1"/>
    <col min="4" max="4" width="13.7109375" style="3" hidden="1" customWidth="1"/>
    <col min="5" max="6" width="13.7109375" style="103" customWidth="1"/>
    <col min="7" max="7" width="14.7109375" style="0" hidden="1" customWidth="1"/>
    <col min="8" max="8" width="13.7109375" style="0" hidden="1" customWidth="1"/>
    <col min="9" max="10" width="11.00390625" style="0" hidden="1" customWidth="1"/>
    <col min="11" max="11" width="12.421875" style="0" hidden="1" customWidth="1"/>
    <col min="12" max="12" width="11.7109375" style="0" hidden="1" customWidth="1"/>
    <col min="13" max="13" width="16.28125" style="0" hidden="1" customWidth="1"/>
    <col min="14" max="14" width="14.00390625" style="0" hidden="1" customWidth="1"/>
    <col min="15" max="15" width="13.28125" style="0" hidden="1" customWidth="1"/>
    <col min="16" max="16" width="11.7109375" style="0" hidden="1" customWidth="1"/>
    <col min="17" max="17" width="13.8515625" style="0" hidden="1" customWidth="1"/>
    <col min="18" max="18" width="13.28125" style="0" hidden="1" customWidth="1"/>
    <col min="19" max="19" width="10.57421875" style="0" hidden="1" customWidth="1"/>
  </cols>
  <sheetData>
    <row r="1" spans="1:4" ht="18">
      <c r="A1" s="1" t="s">
        <v>77</v>
      </c>
      <c r="B1" s="115"/>
      <c r="C1" s="62"/>
      <c r="D1" s="116"/>
    </row>
    <row r="2" spans="1:5" ht="18.75" thickBot="1">
      <c r="A2" s="189" t="s">
        <v>187</v>
      </c>
      <c r="B2" s="190"/>
      <c r="C2" s="190"/>
      <c r="D2" s="190"/>
      <c r="E2" s="190"/>
    </row>
    <row r="3" spans="1:18" ht="18">
      <c r="A3" s="69"/>
      <c r="B3" s="104" t="s">
        <v>123</v>
      </c>
      <c r="C3" s="104" t="s">
        <v>105</v>
      </c>
      <c r="D3" s="117" t="s">
        <v>110</v>
      </c>
      <c r="E3" s="104" t="s">
        <v>61</v>
      </c>
      <c r="F3" s="118" t="s">
        <v>113</v>
      </c>
      <c r="G3" s="83" t="s">
        <v>63</v>
      </c>
      <c r="H3" s="76" t="s">
        <v>64</v>
      </c>
      <c r="I3" s="38" t="s">
        <v>66</v>
      </c>
      <c r="J3" s="6" t="s">
        <v>65</v>
      </c>
      <c r="K3" s="6" t="s">
        <v>67</v>
      </c>
      <c r="L3" s="6" t="s">
        <v>68</v>
      </c>
      <c r="M3" s="6" t="s">
        <v>69</v>
      </c>
      <c r="N3" s="6" t="s">
        <v>70</v>
      </c>
      <c r="O3" s="6" t="s">
        <v>71</v>
      </c>
      <c r="P3" s="6" t="s">
        <v>72</v>
      </c>
      <c r="Q3" s="6" t="s">
        <v>114</v>
      </c>
      <c r="R3" s="7"/>
    </row>
    <row r="4" spans="1:18" ht="18.75" thickBot="1">
      <c r="A4" s="2"/>
      <c r="B4" s="106" t="s">
        <v>179</v>
      </c>
      <c r="C4" s="106" t="s">
        <v>111</v>
      </c>
      <c r="D4" s="105" t="s">
        <v>179</v>
      </c>
      <c r="E4" s="106" t="s">
        <v>188</v>
      </c>
      <c r="F4" s="119" t="s">
        <v>112</v>
      </c>
      <c r="G4" s="84" t="s">
        <v>73</v>
      </c>
      <c r="H4" s="77" t="s">
        <v>74</v>
      </c>
      <c r="I4" s="39" t="s">
        <v>74</v>
      </c>
      <c r="J4" s="8" t="s">
        <v>74</v>
      </c>
      <c r="K4" s="8" t="s">
        <v>74</v>
      </c>
      <c r="L4" s="8" t="s">
        <v>75</v>
      </c>
      <c r="M4" s="8" t="s">
        <v>75</v>
      </c>
      <c r="N4" s="8" t="s">
        <v>75</v>
      </c>
      <c r="O4" s="8" t="s">
        <v>76</v>
      </c>
      <c r="P4" s="8" t="s">
        <v>74</v>
      </c>
      <c r="Q4" s="8" t="s">
        <v>75</v>
      </c>
      <c r="R4" s="9" t="s">
        <v>116</v>
      </c>
    </row>
    <row r="5" spans="1:18" ht="18.75" thickBot="1">
      <c r="A5" s="56" t="s">
        <v>0</v>
      </c>
      <c r="B5" s="120"/>
      <c r="C5" s="121"/>
      <c r="D5" s="122"/>
      <c r="E5" s="120"/>
      <c r="F5" s="123"/>
      <c r="G5" s="85"/>
      <c r="H5" s="78"/>
      <c r="I5" s="53"/>
      <c r="J5" s="54"/>
      <c r="K5" s="54"/>
      <c r="L5" s="54"/>
      <c r="M5" s="54"/>
      <c r="N5" s="54"/>
      <c r="O5" s="54"/>
      <c r="P5" s="54"/>
      <c r="Q5" s="54"/>
      <c r="R5" s="55"/>
    </row>
    <row r="6" spans="1:18" ht="15">
      <c r="A6" s="46" t="s">
        <v>1</v>
      </c>
      <c r="B6" s="91"/>
      <c r="C6" s="91"/>
      <c r="D6" s="124"/>
      <c r="E6" s="91"/>
      <c r="F6" s="125"/>
      <c r="G6" s="86"/>
      <c r="H6" s="79"/>
      <c r="I6" s="40"/>
      <c r="J6" s="40"/>
      <c r="K6" s="40"/>
      <c r="L6" s="40"/>
      <c r="M6" s="40"/>
      <c r="N6" s="40"/>
      <c r="O6" s="40"/>
      <c r="P6" s="40"/>
      <c r="Q6" s="40"/>
      <c r="R6" s="10"/>
    </row>
    <row r="7" spans="1:19" ht="15">
      <c r="A7" s="47" t="s">
        <v>2</v>
      </c>
      <c r="B7" s="68">
        <v>459500</v>
      </c>
      <c r="C7" s="63">
        <v>229750</v>
      </c>
      <c r="D7" s="126">
        <f>+C7*2</f>
        <v>459500</v>
      </c>
      <c r="E7" s="68">
        <v>492000</v>
      </c>
      <c r="F7" s="127">
        <f>+E7-B7</f>
        <v>32500</v>
      </c>
      <c r="G7" s="128">
        <v>108880</v>
      </c>
      <c r="H7" s="129">
        <v>76481</v>
      </c>
      <c r="I7" s="91"/>
      <c r="J7" s="68"/>
      <c r="K7" s="130"/>
      <c r="L7" s="68"/>
      <c r="M7" s="68"/>
      <c r="N7" s="68"/>
      <c r="O7" s="68"/>
      <c r="P7" s="68"/>
      <c r="Q7" s="68">
        <v>286462</v>
      </c>
      <c r="R7" s="11">
        <f aca="true" t="shared" si="0" ref="R7:R76">SUM(G7:Q7)</f>
        <v>471823</v>
      </c>
      <c r="S7" s="7">
        <f aca="true" t="shared" si="1" ref="S7:S60">+R7-E7</f>
        <v>-20177</v>
      </c>
    </row>
    <row r="8" spans="1:19" ht="15">
      <c r="A8" s="47" t="s">
        <v>3</v>
      </c>
      <c r="B8" s="68">
        <v>35000</v>
      </c>
      <c r="C8" s="63">
        <v>16500</v>
      </c>
      <c r="D8" s="126"/>
      <c r="E8" s="68">
        <v>40000</v>
      </c>
      <c r="F8" s="127">
        <f>+E8-B8</f>
        <v>5000</v>
      </c>
      <c r="G8" s="128">
        <v>15000</v>
      </c>
      <c r="H8" s="129">
        <v>25000</v>
      </c>
      <c r="I8" s="91"/>
      <c r="J8" s="130"/>
      <c r="K8" s="130"/>
      <c r="L8" s="130"/>
      <c r="M8" s="130"/>
      <c r="N8" s="130"/>
      <c r="O8" s="130"/>
      <c r="P8" s="130"/>
      <c r="Q8" s="68"/>
      <c r="R8" s="7">
        <f t="shared" si="0"/>
        <v>40000</v>
      </c>
      <c r="S8" s="7">
        <f t="shared" si="1"/>
        <v>0</v>
      </c>
    </row>
    <row r="9" spans="1:19" ht="15">
      <c r="A9" s="47" t="s">
        <v>4</v>
      </c>
      <c r="B9" s="109">
        <v>20050</v>
      </c>
      <c r="C9" s="63">
        <v>10026</v>
      </c>
      <c r="D9" s="126"/>
      <c r="E9" s="109">
        <v>20050</v>
      </c>
      <c r="F9" s="127">
        <f>+E9-B9</f>
        <v>0</v>
      </c>
      <c r="G9" s="128"/>
      <c r="H9" s="129"/>
      <c r="I9" s="91"/>
      <c r="J9" s="130"/>
      <c r="K9" s="130"/>
      <c r="L9" s="68"/>
      <c r="M9" s="68"/>
      <c r="N9" s="68"/>
      <c r="O9" s="68"/>
      <c r="P9" s="130"/>
      <c r="Q9" s="68">
        <v>20050</v>
      </c>
      <c r="R9" s="7">
        <f t="shared" si="0"/>
        <v>20050</v>
      </c>
      <c r="S9" s="7">
        <f t="shared" si="1"/>
        <v>0</v>
      </c>
    </row>
    <row r="10" spans="1:19" ht="15">
      <c r="A10" s="4" t="s">
        <v>109</v>
      </c>
      <c r="B10" s="109">
        <v>5000</v>
      </c>
      <c r="C10" s="63"/>
      <c r="D10" s="126"/>
      <c r="E10" s="109">
        <v>5000</v>
      </c>
      <c r="F10" s="127">
        <f>+E10-B10</f>
        <v>0</v>
      </c>
      <c r="G10" s="128"/>
      <c r="H10" s="129"/>
      <c r="I10" s="91"/>
      <c r="J10" s="130"/>
      <c r="K10" s="130"/>
      <c r="L10" s="130"/>
      <c r="M10" s="68"/>
      <c r="N10" s="68"/>
      <c r="O10" s="130"/>
      <c r="P10" s="130"/>
      <c r="Q10" s="68"/>
      <c r="R10" s="7">
        <f t="shared" si="0"/>
        <v>0</v>
      </c>
      <c r="S10" s="7">
        <f t="shared" si="1"/>
        <v>-5000</v>
      </c>
    </row>
    <row r="11" spans="1:19" ht="15.75" thickBot="1">
      <c r="A11" s="4" t="s">
        <v>5</v>
      </c>
      <c r="B11" s="109">
        <v>12550</v>
      </c>
      <c r="C11" s="64">
        <v>6279</v>
      </c>
      <c r="D11" s="126"/>
      <c r="E11" s="109">
        <v>12550</v>
      </c>
      <c r="F11" s="127">
        <f>+E11-B11</f>
        <v>0</v>
      </c>
      <c r="G11" s="128"/>
      <c r="H11" s="129"/>
      <c r="I11" s="91"/>
      <c r="J11" s="130"/>
      <c r="K11" s="130"/>
      <c r="L11" s="68"/>
      <c r="M11" s="68"/>
      <c r="N11" s="68"/>
      <c r="O11" s="68"/>
      <c r="P11" s="130"/>
      <c r="Q11" s="68">
        <v>12550</v>
      </c>
      <c r="R11" s="7">
        <f t="shared" si="0"/>
        <v>12550</v>
      </c>
      <c r="S11" s="7">
        <f t="shared" si="1"/>
        <v>0</v>
      </c>
    </row>
    <row r="12" spans="1:19" ht="15.75" thickBot="1">
      <c r="A12" s="48" t="s">
        <v>6</v>
      </c>
      <c r="B12" s="110">
        <f>SUM(B7:B11)</f>
        <v>532100</v>
      </c>
      <c r="C12" s="43">
        <f aca="true" t="shared" si="2" ref="C12:Q12">SUM(C7:C11)</f>
        <v>262555</v>
      </c>
      <c r="D12" s="131">
        <f t="shared" si="2"/>
        <v>459500</v>
      </c>
      <c r="E12" s="110">
        <f t="shared" si="2"/>
        <v>569600</v>
      </c>
      <c r="F12" s="132">
        <f t="shared" si="2"/>
        <v>37500</v>
      </c>
      <c r="G12" s="133">
        <f t="shared" si="2"/>
        <v>123880</v>
      </c>
      <c r="H12" s="134">
        <f t="shared" si="2"/>
        <v>101481</v>
      </c>
      <c r="I12" s="135">
        <f t="shared" si="2"/>
        <v>0</v>
      </c>
      <c r="J12" s="136">
        <f t="shared" si="2"/>
        <v>0</v>
      </c>
      <c r="K12" s="136">
        <f t="shared" si="2"/>
        <v>0</v>
      </c>
      <c r="L12" s="136">
        <f t="shared" si="2"/>
        <v>0</v>
      </c>
      <c r="M12" s="136">
        <f t="shared" si="2"/>
        <v>0</v>
      </c>
      <c r="N12" s="136">
        <f t="shared" si="2"/>
        <v>0</v>
      </c>
      <c r="O12" s="136">
        <f t="shared" si="2"/>
        <v>0</v>
      </c>
      <c r="P12" s="136">
        <f t="shared" si="2"/>
        <v>0</v>
      </c>
      <c r="Q12" s="110">
        <f t="shared" si="2"/>
        <v>319062</v>
      </c>
      <c r="R12" s="12">
        <f t="shared" si="0"/>
        <v>544423</v>
      </c>
      <c r="S12" s="7">
        <f t="shared" si="1"/>
        <v>-25177</v>
      </c>
    </row>
    <row r="13" spans="1:19" ht="15">
      <c r="A13" s="46" t="s">
        <v>7</v>
      </c>
      <c r="B13" s="91"/>
      <c r="C13" s="137"/>
      <c r="D13" s="124"/>
      <c r="E13" s="91"/>
      <c r="F13" s="125"/>
      <c r="G13" s="128"/>
      <c r="H13" s="129"/>
      <c r="I13" s="91"/>
      <c r="J13" s="91"/>
      <c r="K13" s="91"/>
      <c r="L13" s="91"/>
      <c r="M13" s="91"/>
      <c r="N13" s="91"/>
      <c r="O13" s="91"/>
      <c r="P13" s="91"/>
      <c r="Q13" s="91"/>
      <c r="R13" s="13">
        <f t="shared" si="0"/>
        <v>0</v>
      </c>
      <c r="S13" s="7">
        <f t="shared" si="1"/>
        <v>0</v>
      </c>
    </row>
    <row r="14" spans="1:19" ht="15">
      <c r="A14" s="46" t="s">
        <v>8</v>
      </c>
      <c r="B14" s="91"/>
      <c r="C14" s="137"/>
      <c r="D14" s="124"/>
      <c r="E14" s="91"/>
      <c r="F14" s="125"/>
      <c r="G14" s="128"/>
      <c r="H14" s="129"/>
      <c r="I14" s="91"/>
      <c r="J14" s="91"/>
      <c r="K14" s="91"/>
      <c r="L14" s="91"/>
      <c r="M14" s="91"/>
      <c r="N14" s="91"/>
      <c r="O14" s="91"/>
      <c r="P14" s="91"/>
      <c r="Q14" s="91"/>
      <c r="R14" s="13">
        <f t="shared" si="0"/>
        <v>0</v>
      </c>
      <c r="S14" s="7">
        <f t="shared" si="1"/>
        <v>0</v>
      </c>
    </row>
    <row r="15" spans="1:19" ht="15.75" thickBot="1">
      <c r="A15" s="46" t="s">
        <v>9</v>
      </c>
      <c r="B15" s="111"/>
      <c r="C15" s="138"/>
      <c r="D15" s="139"/>
      <c r="E15" s="111"/>
      <c r="F15" s="140"/>
      <c r="G15" s="141"/>
      <c r="H15" s="142"/>
      <c r="I15" s="111"/>
      <c r="J15" s="111"/>
      <c r="K15" s="111"/>
      <c r="L15" s="111"/>
      <c r="M15" s="111"/>
      <c r="N15" s="111"/>
      <c r="O15" s="111"/>
      <c r="P15" s="111"/>
      <c r="Q15" s="143"/>
      <c r="R15" s="14">
        <f t="shared" si="0"/>
        <v>0</v>
      </c>
      <c r="S15" s="7">
        <f t="shared" si="1"/>
        <v>0</v>
      </c>
    </row>
    <row r="16" spans="1:19" ht="15">
      <c r="A16" s="4" t="s">
        <v>99</v>
      </c>
      <c r="B16" s="109"/>
      <c r="C16" s="66"/>
      <c r="D16" s="126"/>
      <c r="E16" s="109"/>
      <c r="F16" s="127"/>
      <c r="G16" s="128"/>
      <c r="H16" s="129"/>
      <c r="I16" s="91"/>
      <c r="J16" s="130"/>
      <c r="K16" s="130"/>
      <c r="L16" s="130"/>
      <c r="M16" s="130"/>
      <c r="N16" s="130"/>
      <c r="O16" s="130"/>
      <c r="P16" s="130"/>
      <c r="Q16" s="68">
        <v>0</v>
      </c>
      <c r="R16" s="7">
        <f t="shared" si="0"/>
        <v>0</v>
      </c>
      <c r="S16" s="7">
        <f t="shared" si="1"/>
        <v>0</v>
      </c>
    </row>
    <row r="17" spans="1:19" ht="15">
      <c r="A17" s="4" t="s">
        <v>100</v>
      </c>
      <c r="B17" s="109"/>
      <c r="C17" s="64"/>
      <c r="D17" s="126"/>
      <c r="E17" s="109"/>
      <c r="F17" s="127">
        <f aca="true" t="shared" si="3" ref="F17:F22">+E17-D17</f>
        <v>0</v>
      </c>
      <c r="G17" s="128"/>
      <c r="H17" s="129"/>
      <c r="I17" s="91"/>
      <c r="J17" s="130"/>
      <c r="K17" s="130"/>
      <c r="L17" s="130"/>
      <c r="M17" s="130"/>
      <c r="N17" s="130"/>
      <c r="O17" s="130"/>
      <c r="P17" s="130"/>
      <c r="Q17" s="68">
        <f>+E17-G17-H17</f>
        <v>0</v>
      </c>
      <c r="R17" s="7">
        <f t="shared" si="0"/>
        <v>0</v>
      </c>
      <c r="S17" s="7">
        <f t="shared" si="1"/>
        <v>0</v>
      </c>
    </row>
    <row r="18" spans="1:19" ht="15">
      <c r="A18" s="4" t="s">
        <v>115</v>
      </c>
      <c r="B18" s="109"/>
      <c r="C18" s="64"/>
      <c r="D18" s="126"/>
      <c r="E18" s="109"/>
      <c r="F18" s="127">
        <f t="shared" si="3"/>
        <v>0</v>
      </c>
      <c r="G18" s="128"/>
      <c r="H18" s="129"/>
      <c r="I18" s="91"/>
      <c r="J18" s="130"/>
      <c r="K18" s="130"/>
      <c r="L18" s="130"/>
      <c r="M18" s="130"/>
      <c r="N18" s="130"/>
      <c r="O18" s="130"/>
      <c r="P18" s="130"/>
      <c r="Q18" s="68">
        <f>+E18-G18-H18</f>
        <v>0</v>
      </c>
      <c r="R18" s="7">
        <f t="shared" si="0"/>
        <v>0</v>
      </c>
      <c r="S18" s="7">
        <f t="shared" si="1"/>
        <v>0</v>
      </c>
    </row>
    <row r="19" spans="1:19" ht="15">
      <c r="A19" s="4" t="s">
        <v>101</v>
      </c>
      <c r="B19" s="109"/>
      <c r="C19" s="64"/>
      <c r="D19" s="126"/>
      <c r="E19" s="109"/>
      <c r="F19" s="127">
        <f t="shared" si="3"/>
        <v>0</v>
      </c>
      <c r="G19" s="128"/>
      <c r="H19" s="129"/>
      <c r="I19" s="91"/>
      <c r="J19" s="130"/>
      <c r="K19" s="130"/>
      <c r="L19" s="130"/>
      <c r="M19" s="130"/>
      <c r="N19" s="130"/>
      <c r="O19" s="130"/>
      <c r="P19" s="130"/>
      <c r="Q19" s="68">
        <f>+E19-G19-H19</f>
        <v>0</v>
      </c>
      <c r="R19" s="7">
        <f t="shared" si="0"/>
        <v>0</v>
      </c>
      <c r="S19" s="7">
        <f t="shared" si="1"/>
        <v>0</v>
      </c>
    </row>
    <row r="20" spans="1:19" ht="15">
      <c r="A20" s="4" t="s">
        <v>102</v>
      </c>
      <c r="B20" s="109"/>
      <c r="C20" s="64"/>
      <c r="D20" s="126">
        <f>+C20*2</f>
        <v>0</v>
      </c>
      <c r="E20" s="109"/>
      <c r="F20" s="127">
        <f t="shared" si="3"/>
        <v>0</v>
      </c>
      <c r="G20" s="128"/>
      <c r="H20" s="129"/>
      <c r="I20" s="91"/>
      <c r="J20" s="130"/>
      <c r="K20" s="130"/>
      <c r="L20" s="130"/>
      <c r="M20" s="130"/>
      <c r="N20" s="130"/>
      <c r="O20" s="130"/>
      <c r="P20" s="130"/>
      <c r="Q20" s="68">
        <v>0</v>
      </c>
      <c r="R20" s="7">
        <f t="shared" si="0"/>
        <v>0</v>
      </c>
      <c r="S20" s="7">
        <f t="shared" si="1"/>
        <v>0</v>
      </c>
    </row>
    <row r="21" spans="1:19" ht="15">
      <c r="A21" s="4" t="s">
        <v>106</v>
      </c>
      <c r="B21" s="109"/>
      <c r="C21" s="64"/>
      <c r="D21" s="126">
        <f>+C21*2</f>
        <v>0</v>
      </c>
      <c r="E21" s="109"/>
      <c r="F21" s="144">
        <f t="shared" si="3"/>
        <v>0</v>
      </c>
      <c r="G21" s="128"/>
      <c r="H21" s="129"/>
      <c r="I21" s="91"/>
      <c r="J21" s="130"/>
      <c r="K21" s="130"/>
      <c r="L21" s="130"/>
      <c r="M21" s="130"/>
      <c r="N21" s="130"/>
      <c r="O21" s="130"/>
      <c r="P21" s="130"/>
      <c r="Q21" s="68"/>
      <c r="R21" s="7"/>
      <c r="S21" s="7"/>
    </row>
    <row r="22" spans="1:19" ht="15">
      <c r="A22" s="4" t="s">
        <v>158</v>
      </c>
      <c r="B22" s="109"/>
      <c r="C22" s="64"/>
      <c r="D22" s="126">
        <f>+C22*2</f>
        <v>0</v>
      </c>
      <c r="E22" s="109"/>
      <c r="F22" s="144">
        <f t="shared" si="3"/>
        <v>0</v>
      </c>
      <c r="G22" s="128"/>
      <c r="H22" s="129"/>
      <c r="I22" s="91"/>
      <c r="J22" s="130"/>
      <c r="K22" s="130"/>
      <c r="L22" s="130"/>
      <c r="M22" s="130"/>
      <c r="N22" s="130"/>
      <c r="O22" s="130"/>
      <c r="P22" s="130"/>
      <c r="Q22" s="68"/>
      <c r="R22" s="7"/>
      <c r="S22" s="7"/>
    </row>
    <row r="23" spans="1:19" ht="15.75" thickBot="1">
      <c r="A23" s="4" t="s">
        <v>103</v>
      </c>
      <c r="B23" s="109"/>
      <c r="C23" s="67"/>
      <c r="D23" s="126"/>
      <c r="E23" s="109"/>
      <c r="F23" s="127"/>
      <c r="G23" s="128"/>
      <c r="H23" s="129"/>
      <c r="I23" s="91"/>
      <c r="J23" s="130"/>
      <c r="K23" s="68"/>
      <c r="L23" s="130"/>
      <c r="M23" s="130"/>
      <c r="N23" s="130"/>
      <c r="O23" s="130"/>
      <c r="P23" s="130"/>
      <c r="Q23" s="68">
        <v>0</v>
      </c>
      <c r="R23" s="7">
        <f t="shared" si="0"/>
        <v>0</v>
      </c>
      <c r="S23" s="7">
        <f t="shared" si="1"/>
        <v>0</v>
      </c>
    </row>
    <row r="24" spans="1:19" ht="15.75" thickBot="1">
      <c r="A24" s="48" t="s">
        <v>6</v>
      </c>
      <c r="B24" s="43">
        <v>13000</v>
      </c>
      <c r="C24" s="43">
        <v>25478.06</v>
      </c>
      <c r="D24" s="145">
        <f>+C24*2</f>
        <v>50956.12</v>
      </c>
      <c r="E24" s="43">
        <v>15000</v>
      </c>
      <c r="F24" s="132">
        <f>+E24-B24</f>
        <v>2000</v>
      </c>
      <c r="G24" s="133">
        <f aca="true" t="shared" si="4" ref="G24:P24">SUM(G15:G23)</f>
        <v>0</v>
      </c>
      <c r="H24" s="134">
        <f t="shared" si="4"/>
        <v>0</v>
      </c>
      <c r="I24" s="135">
        <f t="shared" si="4"/>
        <v>0</v>
      </c>
      <c r="J24" s="136">
        <f>SUM(J15:J23)</f>
        <v>0</v>
      </c>
      <c r="K24" s="136">
        <f t="shared" si="4"/>
        <v>0</v>
      </c>
      <c r="L24" s="136">
        <f t="shared" si="4"/>
        <v>0</v>
      </c>
      <c r="M24" s="136">
        <f t="shared" si="4"/>
        <v>0</v>
      </c>
      <c r="N24" s="136">
        <f t="shared" si="4"/>
        <v>0</v>
      </c>
      <c r="O24" s="136">
        <f t="shared" si="4"/>
        <v>0</v>
      </c>
      <c r="P24" s="136">
        <f t="shared" si="4"/>
        <v>0</v>
      </c>
      <c r="Q24" s="110">
        <v>13000</v>
      </c>
      <c r="R24" s="44">
        <f t="shared" si="0"/>
        <v>13000</v>
      </c>
      <c r="S24" s="7">
        <f t="shared" si="1"/>
        <v>-2000</v>
      </c>
    </row>
    <row r="25" spans="1:19" ht="15">
      <c r="A25" s="46" t="s">
        <v>10</v>
      </c>
      <c r="B25" s="91"/>
      <c r="C25" s="146"/>
      <c r="D25" s="124"/>
      <c r="E25" s="91"/>
      <c r="F25" s="125"/>
      <c r="G25" s="128"/>
      <c r="H25" s="129"/>
      <c r="I25" s="91"/>
      <c r="J25" s="91"/>
      <c r="K25" s="91"/>
      <c r="L25" s="91"/>
      <c r="M25" s="91"/>
      <c r="N25" s="91"/>
      <c r="O25" s="91"/>
      <c r="P25" s="91"/>
      <c r="Q25" s="91"/>
      <c r="R25" s="13">
        <f t="shared" si="0"/>
        <v>0</v>
      </c>
      <c r="S25" s="7">
        <f t="shared" si="1"/>
        <v>0</v>
      </c>
    </row>
    <row r="26" spans="1:19" ht="15">
      <c r="A26" s="4" t="s">
        <v>11</v>
      </c>
      <c r="B26" s="109">
        <v>49200</v>
      </c>
      <c r="C26" s="63">
        <v>24900</v>
      </c>
      <c r="D26" s="126">
        <f>+C26*2</f>
        <v>49800</v>
      </c>
      <c r="E26" s="109">
        <v>60200</v>
      </c>
      <c r="F26" s="144">
        <f>+E26-B26</f>
        <v>11000</v>
      </c>
      <c r="G26" s="109">
        <v>60200</v>
      </c>
      <c r="H26" s="129"/>
      <c r="I26" s="91"/>
      <c r="J26" s="130"/>
      <c r="K26" s="130"/>
      <c r="L26" s="130"/>
      <c r="M26" s="130"/>
      <c r="N26" s="130"/>
      <c r="O26" s="130"/>
      <c r="P26" s="130"/>
      <c r="Q26" s="68"/>
      <c r="R26" s="7">
        <f t="shared" si="0"/>
        <v>60200</v>
      </c>
      <c r="S26" s="7">
        <f t="shared" si="1"/>
        <v>0</v>
      </c>
    </row>
    <row r="27" spans="1:19" ht="15">
      <c r="A27" s="4" t="s">
        <v>157</v>
      </c>
      <c r="B27" s="109">
        <v>7200</v>
      </c>
      <c r="C27" s="64">
        <v>1158.75</v>
      </c>
      <c r="D27" s="126">
        <f>+C27*2</f>
        <v>2317.5</v>
      </c>
      <c r="E27" s="109">
        <v>6400</v>
      </c>
      <c r="F27" s="127">
        <f aca="true" t="shared" si="5" ref="F27:F44">+E27-B27</f>
        <v>-800</v>
      </c>
      <c r="G27" s="109">
        <v>6400</v>
      </c>
      <c r="H27" s="129"/>
      <c r="I27" s="91"/>
      <c r="J27" s="130"/>
      <c r="K27" s="130"/>
      <c r="L27" s="130"/>
      <c r="M27" s="130"/>
      <c r="N27" s="130"/>
      <c r="O27" s="130"/>
      <c r="P27" s="130"/>
      <c r="Q27" s="68"/>
      <c r="R27" s="7">
        <f t="shared" si="0"/>
        <v>6400</v>
      </c>
      <c r="S27" s="7"/>
    </row>
    <row r="28" spans="1:19" ht="15">
      <c r="A28" s="4" t="s">
        <v>155</v>
      </c>
      <c r="B28" s="109">
        <v>0</v>
      </c>
      <c r="C28" s="63">
        <v>0</v>
      </c>
      <c r="D28" s="126"/>
      <c r="E28" s="109"/>
      <c r="F28" s="144">
        <f t="shared" si="5"/>
        <v>0</v>
      </c>
      <c r="G28" s="109">
        <v>0</v>
      </c>
      <c r="H28" s="129"/>
      <c r="I28" s="91"/>
      <c r="J28" s="130"/>
      <c r="K28" s="130"/>
      <c r="L28" s="68"/>
      <c r="M28" s="68"/>
      <c r="N28" s="68"/>
      <c r="O28" s="68"/>
      <c r="P28" s="68"/>
      <c r="Q28" s="68"/>
      <c r="R28" s="7">
        <f t="shared" si="0"/>
        <v>0</v>
      </c>
      <c r="S28" s="7">
        <f t="shared" si="1"/>
        <v>0</v>
      </c>
    </row>
    <row r="29" spans="1:19" ht="15">
      <c r="A29" s="4" t="s">
        <v>170</v>
      </c>
      <c r="B29" s="109">
        <v>16000</v>
      </c>
      <c r="C29" s="63">
        <v>10834.5</v>
      </c>
      <c r="D29" s="126">
        <f>+C29*2</f>
        <v>21669</v>
      </c>
      <c r="E29" s="109">
        <v>20000</v>
      </c>
      <c r="F29" s="144">
        <f t="shared" si="5"/>
        <v>4000</v>
      </c>
      <c r="G29" s="128"/>
      <c r="H29" s="129"/>
      <c r="I29" s="91"/>
      <c r="J29" s="130"/>
      <c r="K29" s="130"/>
      <c r="L29" s="130"/>
      <c r="M29" s="130"/>
      <c r="N29" s="130"/>
      <c r="O29" s="130"/>
      <c r="P29" s="130"/>
      <c r="Q29" s="68">
        <v>16000</v>
      </c>
      <c r="R29" s="7">
        <f t="shared" si="0"/>
        <v>16000</v>
      </c>
      <c r="S29" s="7">
        <f t="shared" si="1"/>
        <v>-4000</v>
      </c>
    </row>
    <row r="30" spans="1:19" ht="15">
      <c r="A30" s="4" t="s">
        <v>156</v>
      </c>
      <c r="B30" s="109">
        <v>2000</v>
      </c>
      <c r="C30" s="63">
        <v>333.5</v>
      </c>
      <c r="D30" s="126"/>
      <c r="E30" s="109">
        <v>1000</v>
      </c>
      <c r="F30" s="144">
        <f t="shared" si="5"/>
        <v>-1000</v>
      </c>
      <c r="G30" s="128"/>
      <c r="H30" s="129"/>
      <c r="I30" s="91"/>
      <c r="J30" s="130"/>
      <c r="K30" s="130"/>
      <c r="L30" s="130"/>
      <c r="M30" s="130"/>
      <c r="N30" s="130"/>
      <c r="O30" s="130"/>
      <c r="P30" s="130"/>
      <c r="Q30" s="68">
        <v>2000</v>
      </c>
      <c r="R30" s="7">
        <f t="shared" si="0"/>
        <v>2000</v>
      </c>
      <c r="S30" s="7">
        <f t="shared" si="1"/>
        <v>1000</v>
      </c>
    </row>
    <row r="31" spans="1:19" ht="15">
      <c r="A31" s="4" t="s">
        <v>12</v>
      </c>
      <c r="B31" s="109">
        <v>1500</v>
      </c>
      <c r="C31" s="63">
        <v>703.98</v>
      </c>
      <c r="D31" s="126"/>
      <c r="E31" s="109">
        <v>1500</v>
      </c>
      <c r="F31" s="144">
        <f t="shared" si="5"/>
        <v>0</v>
      </c>
      <c r="G31" s="128"/>
      <c r="H31" s="129"/>
      <c r="I31" s="91"/>
      <c r="J31" s="130"/>
      <c r="K31" s="130"/>
      <c r="L31" s="130"/>
      <c r="M31" s="130"/>
      <c r="N31" s="130"/>
      <c r="O31" s="130"/>
      <c r="P31" s="130"/>
      <c r="Q31" s="68">
        <v>1500</v>
      </c>
      <c r="R31" s="7">
        <f t="shared" si="0"/>
        <v>1500</v>
      </c>
      <c r="S31" s="7">
        <f t="shared" si="1"/>
        <v>0</v>
      </c>
    </row>
    <row r="32" spans="1:19" ht="15">
      <c r="A32" s="4" t="s">
        <v>104</v>
      </c>
      <c r="B32" s="109">
        <v>100</v>
      </c>
      <c r="C32" s="63">
        <v>1</v>
      </c>
      <c r="D32" s="126"/>
      <c r="E32" s="109">
        <v>100</v>
      </c>
      <c r="F32" s="144">
        <f t="shared" si="5"/>
        <v>0</v>
      </c>
      <c r="G32" s="128"/>
      <c r="H32" s="129"/>
      <c r="I32" s="91"/>
      <c r="J32" s="130"/>
      <c r="K32" s="130"/>
      <c r="L32" s="130"/>
      <c r="M32" s="130"/>
      <c r="N32" s="130"/>
      <c r="O32" s="130"/>
      <c r="P32" s="130"/>
      <c r="Q32" s="68">
        <v>100</v>
      </c>
      <c r="R32" s="7">
        <f t="shared" si="0"/>
        <v>100</v>
      </c>
      <c r="S32" s="7">
        <f t="shared" si="1"/>
        <v>0</v>
      </c>
    </row>
    <row r="33" spans="1:19" ht="15">
      <c r="A33" s="4" t="s">
        <v>13</v>
      </c>
      <c r="B33" s="109">
        <v>0</v>
      </c>
      <c r="C33" s="64">
        <v>0</v>
      </c>
      <c r="D33" s="126"/>
      <c r="E33" s="109">
        <v>0</v>
      </c>
      <c r="F33" s="144">
        <f t="shared" si="5"/>
        <v>0</v>
      </c>
      <c r="G33" s="128"/>
      <c r="H33" s="129"/>
      <c r="I33" s="91"/>
      <c r="J33" s="109"/>
      <c r="K33" s="130"/>
      <c r="L33" s="130"/>
      <c r="M33" s="130"/>
      <c r="N33" s="130"/>
      <c r="O33" s="130"/>
      <c r="P33" s="130"/>
      <c r="Q33" s="68"/>
      <c r="R33" s="7">
        <f t="shared" si="0"/>
        <v>0</v>
      </c>
      <c r="S33" s="7">
        <f t="shared" si="1"/>
        <v>0</v>
      </c>
    </row>
    <row r="34" spans="1:19" ht="15">
      <c r="A34" s="4" t="s">
        <v>14</v>
      </c>
      <c r="B34" s="109">
        <v>0</v>
      </c>
      <c r="C34" s="63">
        <v>0</v>
      </c>
      <c r="D34" s="126"/>
      <c r="E34" s="109">
        <v>0</v>
      </c>
      <c r="F34" s="144">
        <f t="shared" si="5"/>
        <v>0</v>
      </c>
      <c r="G34" s="128"/>
      <c r="H34" s="129"/>
      <c r="I34" s="91"/>
      <c r="J34" s="109"/>
      <c r="K34" s="130"/>
      <c r="L34" s="130"/>
      <c r="M34" s="130"/>
      <c r="N34" s="130"/>
      <c r="O34" s="130"/>
      <c r="P34" s="130"/>
      <c r="Q34" s="68"/>
      <c r="R34" s="7">
        <f t="shared" si="0"/>
        <v>0</v>
      </c>
      <c r="S34" s="7">
        <f t="shared" si="1"/>
        <v>0</v>
      </c>
    </row>
    <row r="35" spans="1:19" ht="15">
      <c r="A35" s="4" t="s">
        <v>15</v>
      </c>
      <c r="B35" s="109">
        <v>13750</v>
      </c>
      <c r="C35" s="63">
        <v>8808.6</v>
      </c>
      <c r="D35" s="126">
        <f>+C35*2</f>
        <v>17617.2</v>
      </c>
      <c r="E35" s="109">
        <v>18000</v>
      </c>
      <c r="F35" s="144">
        <f t="shared" si="5"/>
        <v>4250</v>
      </c>
      <c r="G35" s="128"/>
      <c r="H35" s="129"/>
      <c r="I35" s="91"/>
      <c r="J35" s="109"/>
      <c r="K35" s="130"/>
      <c r="L35" s="130"/>
      <c r="M35" s="130"/>
      <c r="N35" s="130"/>
      <c r="O35" s="130"/>
      <c r="P35" s="130"/>
      <c r="Q35" s="68">
        <v>13750</v>
      </c>
      <c r="R35" s="7">
        <f t="shared" si="0"/>
        <v>13750</v>
      </c>
      <c r="S35" s="7">
        <f t="shared" si="1"/>
        <v>-4250</v>
      </c>
    </row>
    <row r="36" spans="1:19" ht="15">
      <c r="A36" s="4" t="s">
        <v>124</v>
      </c>
      <c r="B36" s="109">
        <v>0</v>
      </c>
      <c r="C36" s="63">
        <v>0</v>
      </c>
      <c r="D36" s="126"/>
      <c r="E36" s="109">
        <v>0</v>
      </c>
      <c r="F36" s="144">
        <f t="shared" si="5"/>
        <v>0</v>
      </c>
      <c r="G36" s="128"/>
      <c r="H36" s="129"/>
      <c r="I36" s="91"/>
      <c r="J36" s="109"/>
      <c r="K36" s="130"/>
      <c r="L36" s="130"/>
      <c r="M36" s="130"/>
      <c r="N36" s="130"/>
      <c r="O36" s="130"/>
      <c r="P36" s="130"/>
      <c r="Q36" s="68"/>
      <c r="R36" s="7">
        <f t="shared" si="0"/>
        <v>0</v>
      </c>
      <c r="S36" s="7">
        <f t="shared" si="1"/>
        <v>0</v>
      </c>
    </row>
    <row r="37" spans="1:19" ht="15">
      <c r="A37" s="4" t="s">
        <v>16</v>
      </c>
      <c r="B37" s="109">
        <v>1000</v>
      </c>
      <c r="C37" s="63">
        <v>945</v>
      </c>
      <c r="D37" s="126">
        <v>1200</v>
      </c>
      <c r="E37" s="109">
        <v>1200</v>
      </c>
      <c r="F37" s="144">
        <f t="shared" si="5"/>
        <v>200</v>
      </c>
      <c r="G37" s="128"/>
      <c r="H37" s="129"/>
      <c r="I37" s="91"/>
      <c r="J37" s="109"/>
      <c r="K37" s="130"/>
      <c r="L37" s="130"/>
      <c r="M37" s="130"/>
      <c r="N37" s="130"/>
      <c r="O37" s="130"/>
      <c r="P37" s="130"/>
      <c r="Q37" s="68">
        <v>1000</v>
      </c>
      <c r="R37" s="7">
        <f t="shared" si="0"/>
        <v>1000</v>
      </c>
      <c r="S37" s="7">
        <f t="shared" si="1"/>
        <v>-200</v>
      </c>
    </row>
    <row r="38" spans="1:19" ht="15">
      <c r="A38" s="4" t="s">
        <v>17</v>
      </c>
      <c r="B38" s="109">
        <v>58000</v>
      </c>
      <c r="C38" s="63">
        <v>30361.75</v>
      </c>
      <c r="D38" s="126">
        <f>+C38*2</f>
        <v>60723.5</v>
      </c>
      <c r="E38" s="109">
        <v>66600</v>
      </c>
      <c r="F38" s="144">
        <f t="shared" si="5"/>
        <v>8600</v>
      </c>
      <c r="G38" s="128"/>
      <c r="H38" s="129">
        <v>66600</v>
      </c>
      <c r="I38" s="91"/>
      <c r="J38" s="130"/>
      <c r="K38" s="130"/>
      <c r="L38" s="130"/>
      <c r="M38" s="130"/>
      <c r="N38" s="130"/>
      <c r="O38" s="130"/>
      <c r="P38" s="130"/>
      <c r="Q38" s="68"/>
      <c r="R38" s="7">
        <f t="shared" si="0"/>
        <v>66600</v>
      </c>
      <c r="S38" s="7">
        <f t="shared" si="1"/>
        <v>0</v>
      </c>
    </row>
    <row r="39" spans="1:19" ht="15">
      <c r="A39" s="4" t="s">
        <v>18</v>
      </c>
      <c r="B39" s="109">
        <v>9600</v>
      </c>
      <c r="C39" s="63">
        <v>4590</v>
      </c>
      <c r="D39" s="126">
        <f>+C39*2</f>
        <v>9180</v>
      </c>
      <c r="E39" s="109">
        <v>12000</v>
      </c>
      <c r="F39" s="144">
        <f t="shared" si="5"/>
        <v>2400</v>
      </c>
      <c r="G39" s="128"/>
      <c r="H39" s="129">
        <v>12000</v>
      </c>
      <c r="I39" s="91"/>
      <c r="J39" s="130"/>
      <c r="K39" s="130"/>
      <c r="L39" s="130"/>
      <c r="M39" s="130"/>
      <c r="N39" s="130"/>
      <c r="O39" s="130"/>
      <c r="P39" s="130"/>
      <c r="Q39" s="68"/>
      <c r="R39" s="7">
        <f t="shared" si="0"/>
        <v>12000</v>
      </c>
      <c r="S39" s="7">
        <f t="shared" si="1"/>
        <v>0</v>
      </c>
    </row>
    <row r="40" spans="1:19" ht="15">
      <c r="A40" s="4" t="s">
        <v>122</v>
      </c>
      <c r="B40" s="109"/>
      <c r="C40" s="63">
        <v>0</v>
      </c>
      <c r="D40" s="126"/>
      <c r="E40" s="109">
        <v>0</v>
      </c>
      <c r="F40" s="144">
        <f t="shared" si="5"/>
        <v>0</v>
      </c>
      <c r="G40" s="128"/>
      <c r="H40" s="129"/>
      <c r="I40" s="91"/>
      <c r="J40" s="130"/>
      <c r="K40" s="130"/>
      <c r="L40" s="130"/>
      <c r="M40" s="130"/>
      <c r="N40" s="130"/>
      <c r="O40" s="130"/>
      <c r="P40" s="130"/>
      <c r="Q40" s="68"/>
      <c r="R40" s="7">
        <f t="shared" si="0"/>
        <v>0</v>
      </c>
      <c r="S40" s="7">
        <f t="shared" si="1"/>
        <v>0</v>
      </c>
    </row>
    <row r="41" spans="1:19" ht="15">
      <c r="A41" s="4" t="s">
        <v>125</v>
      </c>
      <c r="B41" s="109">
        <v>15900</v>
      </c>
      <c r="C41" s="63">
        <v>6840.76</v>
      </c>
      <c r="D41" s="126"/>
      <c r="E41" s="109">
        <v>15000</v>
      </c>
      <c r="F41" s="144">
        <f t="shared" si="5"/>
        <v>-900</v>
      </c>
      <c r="G41" s="128"/>
      <c r="H41" s="129"/>
      <c r="I41" s="91"/>
      <c r="J41" s="130"/>
      <c r="K41" s="130"/>
      <c r="L41" s="130"/>
      <c r="M41" s="130"/>
      <c r="N41" s="130"/>
      <c r="O41" s="130"/>
      <c r="P41" s="130"/>
      <c r="Q41" s="68">
        <v>15900</v>
      </c>
      <c r="R41" s="7">
        <f t="shared" si="0"/>
        <v>15900</v>
      </c>
      <c r="S41" s="7">
        <f t="shared" si="1"/>
        <v>900</v>
      </c>
    </row>
    <row r="42" spans="1:19" ht="15">
      <c r="A42" s="4" t="s">
        <v>108</v>
      </c>
      <c r="B42" s="109">
        <v>1385</v>
      </c>
      <c r="C42" s="64">
        <v>290.35</v>
      </c>
      <c r="D42" s="126"/>
      <c r="E42" s="109">
        <v>500</v>
      </c>
      <c r="F42" s="144">
        <f t="shared" si="5"/>
        <v>-885</v>
      </c>
      <c r="G42" s="128"/>
      <c r="H42" s="129"/>
      <c r="I42" s="91"/>
      <c r="J42" s="130"/>
      <c r="K42" s="130"/>
      <c r="L42" s="130"/>
      <c r="M42" s="130"/>
      <c r="N42" s="130"/>
      <c r="O42" s="130"/>
      <c r="P42" s="130"/>
      <c r="Q42" s="68">
        <v>1385</v>
      </c>
      <c r="R42" s="7">
        <f t="shared" si="0"/>
        <v>1385</v>
      </c>
      <c r="S42" s="7">
        <f t="shared" si="1"/>
        <v>885</v>
      </c>
    </row>
    <row r="43" spans="1:19" ht="15">
      <c r="A43" s="4" t="s">
        <v>19</v>
      </c>
      <c r="B43" s="109">
        <v>1000</v>
      </c>
      <c r="C43" s="64">
        <v>970.5</v>
      </c>
      <c r="D43" s="126"/>
      <c r="E43" s="109">
        <v>1500</v>
      </c>
      <c r="F43" s="144">
        <f t="shared" si="5"/>
        <v>500</v>
      </c>
      <c r="G43" s="128"/>
      <c r="H43" s="129"/>
      <c r="I43" s="91"/>
      <c r="J43" s="130"/>
      <c r="K43" s="130"/>
      <c r="L43" s="130"/>
      <c r="M43" s="130"/>
      <c r="N43" s="130"/>
      <c r="O43" s="130"/>
      <c r="P43" s="68"/>
      <c r="Q43" s="68">
        <v>1000</v>
      </c>
      <c r="R43" s="7">
        <f t="shared" si="0"/>
        <v>1000</v>
      </c>
      <c r="S43" s="7">
        <f t="shared" si="1"/>
        <v>-500</v>
      </c>
    </row>
    <row r="44" spans="1:19" ht="15.75" thickBot="1">
      <c r="A44" s="4" t="s">
        <v>126</v>
      </c>
      <c r="B44" s="112">
        <v>2000</v>
      </c>
      <c r="C44" s="147">
        <v>210.96</v>
      </c>
      <c r="D44" s="126"/>
      <c r="E44" s="112">
        <v>2000</v>
      </c>
      <c r="F44" s="144">
        <f t="shared" si="5"/>
        <v>0</v>
      </c>
      <c r="G44" s="141"/>
      <c r="H44" s="142"/>
      <c r="I44" s="111"/>
      <c r="J44" s="148"/>
      <c r="K44" s="148"/>
      <c r="L44" s="148"/>
      <c r="M44" s="148"/>
      <c r="N44" s="148"/>
      <c r="O44" s="148"/>
      <c r="P44" s="148"/>
      <c r="Q44" s="68">
        <v>2000</v>
      </c>
      <c r="R44" s="16">
        <f t="shared" si="0"/>
        <v>2000</v>
      </c>
      <c r="S44" s="7">
        <f t="shared" si="1"/>
        <v>0</v>
      </c>
    </row>
    <row r="45" spans="1:19" ht="15.75" thickBot="1">
      <c r="A45" s="48" t="s">
        <v>6</v>
      </c>
      <c r="B45" s="110">
        <f>SUM(B26:B44)</f>
        <v>178635</v>
      </c>
      <c r="C45" s="43">
        <f aca="true" t="shared" si="6" ref="C45:Q45">SUM(C26:C44)</f>
        <v>90949.65000000001</v>
      </c>
      <c r="D45" s="131">
        <f t="shared" si="6"/>
        <v>162507.2</v>
      </c>
      <c r="E45" s="110">
        <f t="shared" si="6"/>
        <v>206000</v>
      </c>
      <c r="F45" s="132">
        <f t="shared" si="6"/>
        <v>27365</v>
      </c>
      <c r="G45" s="133">
        <f t="shared" si="6"/>
        <v>66600</v>
      </c>
      <c r="H45" s="134">
        <f t="shared" si="6"/>
        <v>78600</v>
      </c>
      <c r="I45" s="135">
        <f t="shared" si="6"/>
        <v>0</v>
      </c>
      <c r="J45" s="136">
        <f t="shared" si="6"/>
        <v>0</v>
      </c>
      <c r="K45" s="136">
        <f t="shared" si="6"/>
        <v>0</v>
      </c>
      <c r="L45" s="136">
        <f t="shared" si="6"/>
        <v>0</v>
      </c>
      <c r="M45" s="136">
        <f t="shared" si="6"/>
        <v>0</v>
      </c>
      <c r="N45" s="136">
        <f t="shared" si="6"/>
        <v>0</v>
      </c>
      <c r="O45" s="136">
        <f t="shared" si="6"/>
        <v>0</v>
      </c>
      <c r="P45" s="136">
        <f t="shared" si="6"/>
        <v>0</v>
      </c>
      <c r="Q45" s="110">
        <f t="shared" si="6"/>
        <v>54635</v>
      </c>
      <c r="R45" s="12">
        <f t="shared" si="0"/>
        <v>199835</v>
      </c>
      <c r="S45" s="7">
        <f t="shared" si="1"/>
        <v>-6165</v>
      </c>
    </row>
    <row r="46" spans="1:19" ht="15">
      <c r="A46" s="46" t="s">
        <v>20</v>
      </c>
      <c r="B46" s="91"/>
      <c r="C46" s="137"/>
      <c r="D46" s="124"/>
      <c r="E46" s="91"/>
      <c r="F46" s="125"/>
      <c r="G46" s="128"/>
      <c r="H46" s="129"/>
      <c r="I46" s="91"/>
      <c r="J46" s="91"/>
      <c r="K46" s="91"/>
      <c r="L46" s="91"/>
      <c r="M46" s="91"/>
      <c r="N46" s="91"/>
      <c r="O46" s="91"/>
      <c r="P46" s="91"/>
      <c r="Q46" s="91"/>
      <c r="R46" s="13">
        <f t="shared" si="0"/>
        <v>0</v>
      </c>
      <c r="S46" s="7">
        <f t="shared" si="1"/>
        <v>0</v>
      </c>
    </row>
    <row r="47" spans="1:19" ht="15">
      <c r="A47" s="5" t="s">
        <v>21</v>
      </c>
      <c r="B47" s="109"/>
      <c r="C47" s="109"/>
      <c r="D47" s="126">
        <f>+C47*2</f>
        <v>0</v>
      </c>
      <c r="E47" s="109"/>
      <c r="F47" s="144">
        <f>+E47-D47</f>
        <v>0</v>
      </c>
      <c r="G47" s="128"/>
      <c r="H47" s="129"/>
      <c r="I47" s="91"/>
      <c r="J47" s="130"/>
      <c r="K47" s="130"/>
      <c r="L47" s="130"/>
      <c r="M47" s="130"/>
      <c r="N47" s="130"/>
      <c r="O47" s="130"/>
      <c r="P47" s="130"/>
      <c r="Q47" s="68"/>
      <c r="R47" s="7">
        <f t="shared" si="0"/>
        <v>0</v>
      </c>
      <c r="S47" s="7">
        <f t="shared" si="1"/>
        <v>0</v>
      </c>
    </row>
    <row r="48" spans="1:19" ht="15">
      <c r="A48" s="5" t="s">
        <v>153</v>
      </c>
      <c r="B48" s="109"/>
      <c r="C48" s="109"/>
      <c r="D48" s="126">
        <f>+C48*2</f>
        <v>0</v>
      </c>
      <c r="E48" s="109"/>
      <c r="F48" s="144">
        <f>+E48-D48</f>
        <v>0</v>
      </c>
      <c r="G48" s="128"/>
      <c r="H48" s="129"/>
      <c r="I48" s="91"/>
      <c r="J48" s="130"/>
      <c r="K48" s="130"/>
      <c r="L48" s="130"/>
      <c r="M48" s="130"/>
      <c r="N48" s="130"/>
      <c r="O48" s="130"/>
      <c r="P48" s="130"/>
      <c r="Q48" s="68"/>
      <c r="R48" s="7">
        <f t="shared" si="0"/>
        <v>0</v>
      </c>
      <c r="S48" s="7">
        <f t="shared" si="1"/>
        <v>0</v>
      </c>
    </row>
    <row r="49" spans="1:19" ht="15">
      <c r="A49" s="5" t="s">
        <v>22</v>
      </c>
      <c r="B49" s="109"/>
      <c r="C49" s="109"/>
      <c r="D49" s="126"/>
      <c r="E49" s="109"/>
      <c r="F49" s="144">
        <f>+E49-D49</f>
        <v>0</v>
      </c>
      <c r="G49" s="128"/>
      <c r="H49" s="129"/>
      <c r="I49" s="91"/>
      <c r="J49" s="130"/>
      <c r="K49" s="130"/>
      <c r="L49" s="130"/>
      <c r="M49" s="130"/>
      <c r="N49" s="130"/>
      <c r="O49" s="130"/>
      <c r="P49" s="130"/>
      <c r="Q49" s="68"/>
      <c r="R49" s="7">
        <f t="shared" si="0"/>
        <v>0</v>
      </c>
      <c r="S49" s="7">
        <f t="shared" si="1"/>
        <v>0</v>
      </c>
    </row>
    <row r="50" spans="1:19" ht="15.75" thickBot="1">
      <c r="A50" s="5" t="s">
        <v>169</v>
      </c>
      <c r="B50" s="109">
        <v>15000</v>
      </c>
      <c r="C50" s="149">
        <v>639</v>
      </c>
      <c r="D50" s="126"/>
      <c r="E50" s="109"/>
      <c r="F50" s="144"/>
      <c r="G50" s="128"/>
      <c r="H50" s="129"/>
      <c r="I50" s="91"/>
      <c r="J50" s="130"/>
      <c r="K50" s="130"/>
      <c r="L50" s="130"/>
      <c r="M50" s="130"/>
      <c r="N50" s="130"/>
      <c r="O50" s="130"/>
      <c r="P50" s="130"/>
      <c r="Q50" s="68">
        <v>15000</v>
      </c>
      <c r="R50" s="7">
        <f t="shared" si="0"/>
        <v>15000</v>
      </c>
      <c r="S50" s="7">
        <f t="shared" si="1"/>
        <v>15000</v>
      </c>
    </row>
    <row r="51" spans="1:19" ht="15.75" thickBot="1">
      <c r="A51" s="48" t="s">
        <v>6</v>
      </c>
      <c r="B51" s="110">
        <f>SUM(B47:B50)</f>
        <v>15000</v>
      </c>
      <c r="C51" s="43">
        <f aca="true" t="shared" si="7" ref="C51:Q51">SUM(C47:C50)</f>
        <v>639</v>
      </c>
      <c r="D51" s="131">
        <f>SUM(D47:D50)</f>
        <v>0</v>
      </c>
      <c r="E51" s="110">
        <v>15000</v>
      </c>
      <c r="F51" s="132">
        <f>SUM(F47:F50)</f>
        <v>0</v>
      </c>
      <c r="G51" s="133">
        <f t="shared" si="7"/>
        <v>0</v>
      </c>
      <c r="H51" s="134">
        <f t="shared" si="7"/>
        <v>0</v>
      </c>
      <c r="I51" s="135">
        <f t="shared" si="7"/>
        <v>0</v>
      </c>
      <c r="J51" s="136">
        <f>SUM(J47:J50)</f>
        <v>0</v>
      </c>
      <c r="K51" s="136">
        <f t="shared" si="7"/>
        <v>0</v>
      </c>
      <c r="L51" s="136">
        <f t="shared" si="7"/>
        <v>0</v>
      </c>
      <c r="M51" s="136">
        <f t="shared" si="7"/>
        <v>0</v>
      </c>
      <c r="N51" s="136">
        <f t="shared" si="7"/>
        <v>0</v>
      </c>
      <c r="O51" s="136">
        <f t="shared" si="7"/>
        <v>0</v>
      </c>
      <c r="P51" s="136">
        <f t="shared" si="7"/>
        <v>0</v>
      </c>
      <c r="Q51" s="110">
        <f t="shared" si="7"/>
        <v>15000</v>
      </c>
      <c r="R51" s="12">
        <f t="shared" si="0"/>
        <v>15000</v>
      </c>
      <c r="S51" s="7">
        <f t="shared" si="1"/>
        <v>0</v>
      </c>
    </row>
    <row r="52" spans="1:19" ht="15">
      <c r="A52" s="46" t="s">
        <v>23</v>
      </c>
      <c r="B52" s="91"/>
      <c r="C52" s="146"/>
      <c r="D52" s="124"/>
      <c r="E52" s="91"/>
      <c r="F52" s="125"/>
      <c r="G52" s="128"/>
      <c r="H52" s="129"/>
      <c r="I52" s="91"/>
      <c r="J52" s="91"/>
      <c r="K52" s="91"/>
      <c r="L52" s="91"/>
      <c r="M52" s="91"/>
      <c r="N52" s="91"/>
      <c r="O52" s="91"/>
      <c r="P52" s="91"/>
      <c r="Q52" s="91"/>
      <c r="R52" s="13">
        <f t="shared" si="0"/>
        <v>0</v>
      </c>
      <c r="S52" s="7">
        <f t="shared" si="1"/>
        <v>0</v>
      </c>
    </row>
    <row r="53" spans="1:19" ht="15">
      <c r="A53" s="4" t="s">
        <v>106</v>
      </c>
      <c r="B53" s="109">
        <v>0</v>
      </c>
      <c r="C53" s="64">
        <v>0</v>
      </c>
      <c r="D53" s="126"/>
      <c r="E53" s="109">
        <v>0</v>
      </c>
      <c r="F53" s="144"/>
      <c r="G53" s="128"/>
      <c r="H53" s="129"/>
      <c r="I53" s="91"/>
      <c r="J53" s="130"/>
      <c r="K53" s="130"/>
      <c r="L53" s="130"/>
      <c r="M53" s="130"/>
      <c r="N53" s="130"/>
      <c r="O53" s="130"/>
      <c r="P53" s="130"/>
      <c r="Q53" s="68">
        <v>0</v>
      </c>
      <c r="R53" s="7"/>
      <c r="S53" s="7">
        <f t="shared" si="1"/>
        <v>0</v>
      </c>
    </row>
    <row r="54" spans="1:19" ht="15">
      <c r="A54" s="4" t="s">
        <v>107</v>
      </c>
      <c r="B54" s="109">
        <v>0</v>
      </c>
      <c r="C54" s="64">
        <v>0</v>
      </c>
      <c r="D54" s="126"/>
      <c r="E54" s="109">
        <v>6650</v>
      </c>
      <c r="F54" s="144">
        <f>+E54-D54</f>
        <v>6650</v>
      </c>
      <c r="G54" s="128"/>
      <c r="H54" s="129"/>
      <c r="I54" s="91"/>
      <c r="J54" s="130"/>
      <c r="K54" s="130"/>
      <c r="L54" s="130"/>
      <c r="M54" s="130"/>
      <c r="N54" s="130"/>
      <c r="O54" s="130"/>
      <c r="P54" s="130"/>
      <c r="Q54" s="68">
        <f>+E54-G54-H54</f>
        <v>6650</v>
      </c>
      <c r="R54" s="7">
        <f>SUM(G54:Q54)</f>
        <v>6650</v>
      </c>
      <c r="S54" s="7">
        <f t="shared" si="1"/>
        <v>0</v>
      </c>
    </row>
    <row r="55" spans="1:19" ht="15">
      <c r="A55" s="4" t="s">
        <v>24</v>
      </c>
      <c r="B55" s="109">
        <v>0</v>
      </c>
      <c r="C55" s="64">
        <v>1010.4</v>
      </c>
      <c r="D55" s="126"/>
      <c r="E55" s="109">
        <v>1173</v>
      </c>
      <c r="F55" s="144">
        <f>+E55-D55</f>
        <v>1173</v>
      </c>
      <c r="G55" s="128"/>
      <c r="H55" s="129"/>
      <c r="I55" s="91"/>
      <c r="J55" s="130"/>
      <c r="K55" s="130"/>
      <c r="L55" s="130"/>
      <c r="M55" s="130"/>
      <c r="N55" s="130"/>
      <c r="O55" s="130"/>
      <c r="P55" s="130"/>
      <c r="Q55" s="68">
        <f>+E55-G55-H55</f>
        <v>1173</v>
      </c>
      <c r="R55" s="7">
        <f t="shared" si="0"/>
        <v>1173</v>
      </c>
      <c r="S55" s="7">
        <f t="shared" si="1"/>
        <v>0</v>
      </c>
    </row>
    <row r="56" spans="1:19" ht="15">
      <c r="A56" s="4" t="s">
        <v>25</v>
      </c>
      <c r="B56" s="109">
        <v>0</v>
      </c>
      <c r="C56" s="64">
        <v>150</v>
      </c>
      <c r="D56" s="126"/>
      <c r="E56" s="109">
        <v>100</v>
      </c>
      <c r="F56" s="144">
        <f>+E56-D56</f>
        <v>100</v>
      </c>
      <c r="G56" s="128"/>
      <c r="H56" s="129"/>
      <c r="I56" s="91"/>
      <c r="J56" s="130"/>
      <c r="K56" s="130"/>
      <c r="L56" s="130"/>
      <c r="M56" s="130"/>
      <c r="N56" s="130"/>
      <c r="O56" s="130"/>
      <c r="P56" s="130"/>
      <c r="Q56" s="68"/>
      <c r="R56" s="7">
        <f t="shared" si="0"/>
        <v>0</v>
      </c>
      <c r="S56" s="7">
        <f t="shared" si="1"/>
        <v>-100</v>
      </c>
    </row>
    <row r="57" spans="1:19" ht="15.75" thickBot="1">
      <c r="A57" s="4" t="s">
        <v>26</v>
      </c>
      <c r="B57" s="112">
        <v>10630</v>
      </c>
      <c r="C57" s="65">
        <v>5002</v>
      </c>
      <c r="D57" s="126"/>
      <c r="E57" s="112">
        <v>10000</v>
      </c>
      <c r="F57" s="144">
        <f>+E57-B57</f>
        <v>-630</v>
      </c>
      <c r="G57" s="141"/>
      <c r="H57" s="142"/>
      <c r="I57" s="111"/>
      <c r="J57" s="148"/>
      <c r="K57" s="148"/>
      <c r="L57" s="148"/>
      <c r="M57" s="148"/>
      <c r="N57" s="148"/>
      <c r="O57" s="148"/>
      <c r="P57" s="148"/>
      <c r="Q57" s="68">
        <v>10630</v>
      </c>
      <c r="R57" s="16">
        <f t="shared" si="0"/>
        <v>10630</v>
      </c>
      <c r="S57" s="7">
        <f t="shared" si="1"/>
        <v>630</v>
      </c>
    </row>
    <row r="58" spans="1:19" ht="15.75" thickBot="1">
      <c r="A58" s="48" t="s">
        <v>6</v>
      </c>
      <c r="B58" s="110">
        <f>SUM(B52:B57)</f>
        <v>10630</v>
      </c>
      <c r="C58" s="43">
        <f aca="true" t="shared" si="8" ref="C58:Q58">SUM(C52:C57)</f>
        <v>6162.4</v>
      </c>
      <c r="D58" s="131">
        <f>SUM(D52:D57)</f>
        <v>0</v>
      </c>
      <c r="E58" s="110">
        <f>SUM(E52:E57)</f>
        <v>17923</v>
      </c>
      <c r="F58" s="132">
        <f>SUM(F52:F57)</f>
        <v>7293</v>
      </c>
      <c r="G58" s="133">
        <f t="shared" si="8"/>
        <v>0</v>
      </c>
      <c r="H58" s="134">
        <f t="shared" si="8"/>
        <v>0</v>
      </c>
      <c r="I58" s="135">
        <f t="shared" si="8"/>
        <v>0</v>
      </c>
      <c r="J58" s="136">
        <f>SUM(J52:J57)</f>
        <v>0</v>
      </c>
      <c r="K58" s="136">
        <f t="shared" si="8"/>
        <v>0</v>
      </c>
      <c r="L58" s="136">
        <f t="shared" si="8"/>
        <v>0</v>
      </c>
      <c r="M58" s="136">
        <f t="shared" si="8"/>
        <v>0</v>
      </c>
      <c r="N58" s="136">
        <f t="shared" si="8"/>
        <v>0</v>
      </c>
      <c r="O58" s="136">
        <f t="shared" si="8"/>
        <v>0</v>
      </c>
      <c r="P58" s="136">
        <f t="shared" si="8"/>
        <v>0</v>
      </c>
      <c r="Q58" s="110">
        <f t="shared" si="8"/>
        <v>18453</v>
      </c>
      <c r="R58" s="12">
        <f t="shared" si="0"/>
        <v>18453</v>
      </c>
      <c r="S58" s="7">
        <f t="shared" si="1"/>
        <v>530</v>
      </c>
    </row>
    <row r="59" spans="1:19" ht="16.5" thickBot="1">
      <c r="A59" s="49" t="s">
        <v>27</v>
      </c>
      <c r="B59" s="113">
        <f>B12+B24+B45+B51+B58</f>
        <v>749365</v>
      </c>
      <c r="C59" s="98">
        <f aca="true" t="shared" si="9" ref="C59:Q59">C12+C24+C45+C51+C58</f>
        <v>385784.11000000004</v>
      </c>
      <c r="D59" s="150">
        <f t="shared" si="9"/>
        <v>672963.3200000001</v>
      </c>
      <c r="E59" s="113">
        <f t="shared" si="9"/>
        <v>823523</v>
      </c>
      <c r="F59" s="151">
        <f t="shared" si="9"/>
        <v>74158</v>
      </c>
      <c r="G59" s="152">
        <f t="shared" si="9"/>
        <v>190480</v>
      </c>
      <c r="H59" s="153">
        <f t="shared" si="9"/>
        <v>180081</v>
      </c>
      <c r="I59" s="154">
        <f t="shared" si="9"/>
        <v>0</v>
      </c>
      <c r="J59" s="155">
        <f t="shared" si="9"/>
        <v>0</v>
      </c>
      <c r="K59" s="155">
        <f t="shared" si="9"/>
        <v>0</v>
      </c>
      <c r="L59" s="155">
        <f t="shared" si="9"/>
        <v>0</v>
      </c>
      <c r="M59" s="155">
        <f t="shared" si="9"/>
        <v>0</v>
      </c>
      <c r="N59" s="155">
        <f t="shared" si="9"/>
        <v>0</v>
      </c>
      <c r="O59" s="155">
        <f t="shared" si="9"/>
        <v>0</v>
      </c>
      <c r="P59" s="155">
        <f t="shared" si="9"/>
        <v>0</v>
      </c>
      <c r="Q59" s="155">
        <f t="shared" si="9"/>
        <v>420150</v>
      </c>
      <c r="R59" s="17">
        <f t="shared" si="0"/>
        <v>790711</v>
      </c>
      <c r="S59" s="7">
        <f t="shared" si="1"/>
        <v>-32812</v>
      </c>
    </row>
    <row r="60" spans="1:19" ht="17.25" thickBot="1" thickTop="1">
      <c r="A60" s="70"/>
      <c r="B60" s="99"/>
      <c r="C60" s="99"/>
      <c r="D60" s="156"/>
      <c r="E60" s="99"/>
      <c r="F60" s="99"/>
      <c r="G60" s="157"/>
      <c r="H60" s="129"/>
      <c r="I60" s="91"/>
      <c r="J60" s="68"/>
      <c r="K60" s="68"/>
      <c r="L60" s="68"/>
      <c r="M60" s="68"/>
      <c r="N60" s="68"/>
      <c r="O60" s="68"/>
      <c r="P60" s="68"/>
      <c r="Q60" s="68"/>
      <c r="R60" s="7">
        <f t="shared" si="0"/>
        <v>0</v>
      </c>
      <c r="S60" s="7">
        <f t="shared" si="1"/>
        <v>0</v>
      </c>
    </row>
    <row r="61" spans="1:19" ht="18">
      <c r="A61" s="75"/>
      <c r="B61" s="104" t="s">
        <v>61</v>
      </c>
      <c r="C61" s="158" t="s">
        <v>105</v>
      </c>
      <c r="D61" s="117" t="s">
        <v>110</v>
      </c>
      <c r="E61" s="104" t="s">
        <v>61</v>
      </c>
      <c r="F61" s="118" t="s">
        <v>113</v>
      </c>
      <c r="G61" s="83" t="s">
        <v>63</v>
      </c>
      <c r="H61" s="76" t="s">
        <v>64</v>
      </c>
      <c r="I61" s="38" t="s">
        <v>66</v>
      </c>
      <c r="J61" s="6" t="s">
        <v>65</v>
      </c>
      <c r="K61" s="6" t="s">
        <v>67</v>
      </c>
      <c r="L61" s="6" t="s">
        <v>68</v>
      </c>
      <c r="M61" s="6" t="s">
        <v>69</v>
      </c>
      <c r="N61" s="6" t="s">
        <v>70</v>
      </c>
      <c r="O61" s="6" t="s">
        <v>71</v>
      </c>
      <c r="P61" s="6" t="s">
        <v>72</v>
      </c>
      <c r="Q61" s="6" t="s">
        <v>114</v>
      </c>
      <c r="R61" s="7"/>
      <c r="S61" s="7"/>
    </row>
    <row r="62" spans="1:19" ht="18.75" thickBot="1">
      <c r="A62" s="50"/>
      <c r="B62" s="106" t="str">
        <f>+B4</f>
        <v>2019-2020</v>
      </c>
      <c r="C62" s="106" t="str">
        <f>+C4</f>
        <v>Jul-Dec</v>
      </c>
      <c r="D62" s="106" t="str">
        <f>+D4</f>
        <v>2019-2020</v>
      </c>
      <c r="E62" s="106" t="str">
        <f>+E4</f>
        <v>2020-2021</v>
      </c>
      <c r="F62" s="159" t="s">
        <v>112</v>
      </c>
      <c r="G62" s="97" t="s">
        <v>73</v>
      </c>
      <c r="H62" s="77" t="s">
        <v>74</v>
      </c>
      <c r="I62" s="39" t="s">
        <v>74</v>
      </c>
      <c r="J62" s="8" t="s">
        <v>74</v>
      </c>
      <c r="K62" s="8" t="s">
        <v>74</v>
      </c>
      <c r="L62" s="8" t="s">
        <v>75</v>
      </c>
      <c r="M62" s="8" t="s">
        <v>75</v>
      </c>
      <c r="N62" s="8" t="s">
        <v>75</v>
      </c>
      <c r="O62" s="8" t="s">
        <v>76</v>
      </c>
      <c r="P62" s="8" t="s">
        <v>74</v>
      </c>
      <c r="Q62" s="8" t="s">
        <v>75</v>
      </c>
      <c r="R62" s="9" t="s">
        <v>62</v>
      </c>
      <c r="S62" s="7"/>
    </row>
    <row r="63" spans="1:19" ht="18.75" thickBot="1">
      <c r="A63" s="71" t="s">
        <v>28</v>
      </c>
      <c r="B63" s="104"/>
      <c r="C63" s="121"/>
      <c r="D63" s="122"/>
      <c r="E63" s="104"/>
      <c r="F63" s="123"/>
      <c r="G63" s="85"/>
      <c r="H63" s="78"/>
      <c r="I63" s="53"/>
      <c r="J63" s="54"/>
      <c r="K63" s="54"/>
      <c r="L63" s="54"/>
      <c r="M63" s="54"/>
      <c r="N63" s="54"/>
      <c r="O63" s="54"/>
      <c r="P63" s="54"/>
      <c r="Q63" s="54"/>
      <c r="R63" s="55"/>
      <c r="S63" s="7"/>
    </row>
    <row r="64" spans="1:19" ht="15">
      <c r="A64" s="46" t="s">
        <v>29</v>
      </c>
      <c r="B64" s="91"/>
      <c r="C64" s="91"/>
      <c r="D64" s="124"/>
      <c r="E64" s="91"/>
      <c r="F64" s="125"/>
      <c r="G64" s="128"/>
      <c r="H64" s="129"/>
      <c r="I64" s="91"/>
      <c r="J64" s="91"/>
      <c r="K64" s="91"/>
      <c r="L64" s="91"/>
      <c r="M64" s="91"/>
      <c r="N64" s="91"/>
      <c r="O64" s="91"/>
      <c r="P64" s="91"/>
      <c r="Q64" s="91"/>
      <c r="R64" s="13">
        <f t="shared" si="0"/>
        <v>0</v>
      </c>
      <c r="S64" s="7">
        <f aca="true" t="shared" si="10" ref="S64:S129">+R64-E64</f>
        <v>0</v>
      </c>
    </row>
    <row r="65" spans="1:19" ht="15">
      <c r="A65" s="4" t="s">
        <v>150</v>
      </c>
      <c r="B65" s="109">
        <v>1000</v>
      </c>
      <c r="C65" s="64">
        <v>130.56</v>
      </c>
      <c r="D65" s="126">
        <v>1000</v>
      </c>
      <c r="E65" s="109">
        <v>1000</v>
      </c>
      <c r="F65" s="144">
        <f aca="true" t="shared" si="11" ref="F65:F128">+E65-B65</f>
        <v>0</v>
      </c>
      <c r="G65" s="128">
        <f>+E65*0.0814</f>
        <v>81.4</v>
      </c>
      <c r="H65" s="129">
        <f>+E65*0.1212</f>
        <v>121.2</v>
      </c>
      <c r="I65" s="91"/>
      <c r="J65" s="130"/>
      <c r="K65" s="130"/>
      <c r="L65" s="130"/>
      <c r="M65" s="130"/>
      <c r="N65" s="130"/>
      <c r="O65" s="130"/>
      <c r="P65" s="109"/>
      <c r="Q65" s="68">
        <v>794</v>
      </c>
      <c r="R65" s="13">
        <f t="shared" si="0"/>
        <v>996.6</v>
      </c>
      <c r="S65" s="7">
        <f t="shared" si="10"/>
        <v>-3.3999999999999773</v>
      </c>
    </row>
    <row r="66" spans="1:19" ht="15">
      <c r="A66" s="4" t="s">
        <v>151</v>
      </c>
      <c r="B66" s="109">
        <v>2700</v>
      </c>
      <c r="C66" s="64">
        <v>0</v>
      </c>
      <c r="D66" s="126">
        <v>2700</v>
      </c>
      <c r="E66" s="109">
        <v>2800</v>
      </c>
      <c r="F66" s="144">
        <f t="shared" si="11"/>
        <v>100</v>
      </c>
      <c r="G66" s="128">
        <f aca="true" t="shared" si="12" ref="G66:G80">+E66*0.0814</f>
        <v>227.92</v>
      </c>
      <c r="H66" s="129">
        <f aca="true" t="shared" si="13" ref="H66:H81">+E66*0.1212</f>
        <v>339.36</v>
      </c>
      <c r="I66" s="91"/>
      <c r="J66" s="130"/>
      <c r="K66" s="130"/>
      <c r="L66" s="130"/>
      <c r="M66" s="130"/>
      <c r="N66" s="130"/>
      <c r="O66" s="130"/>
      <c r="P66" s="109"/>
      <c r="Q66" s="68">
        <v>2143</v>
      </c>
      <c r="R66" s="13">
        <f t="shared" si="0"/>
        <v>2710.2799999999997</v>
      </c>
      <c r="S66" s="7">
        <f t="shared" si="10"/>
        <v>-89.72000000000025</v>
      </c>
    </row>
    <row r="67" spans="1:19" ht="15">
      <c r="A67" s="4" t="s">
        <v>152</v>
      </c>
      <c r="B67" s="109">
        <v>1000</v>
      </c>
      <c r="C67" s="64">
        <v>86.41</v>
      </c>
      <c r="D67" s="126">
        <v>500</v>
      </c>
      <c r="E67" s="109">
        <v>500</v>
      </c>
      <c r="F67" s="144">
        <f t="shared" si="11"/>
        <v>-500</v>
      </c>
      <c r="G67" s="128">
        <f t="shared" si="12"/>
        <v>40.7</v>
      </c>
      <c r="H67" s="129">
        <f t="shared" si="13"/>
        <v>60.6</v>
      </c>
      <c r="I67" s="91"/>
      <c r="J67" s="130"/>
      <c r="K67" s="130"/>
      <c r="L67" s="130"/>
      <c r="M67" s="130"/>
      <c r="N67" s="130"/>
      <c r="O67" s="130"/>
      <c r="P67" s="109"/>
      <c r="Q67" s="68">
        <v>794</v>
      </c>
      <c r="R67" s="13">
        <f t="shared" si="0"/>
        <v>895.3</v>
      </c>
      <c r="S67" s="7">
        <f t="shared" si="10"/>
        <v>395.29999999999995</v>
      </c>
    </row>
    <row r="68" spans="1:19" ht="15">
      <c r="A68" s="46" t="s">
        <v>30</v>
      </c>
      <c r="B68" s="91"/>
      <c r="C68" s="90"/>
      <c r="D68" s="124"/>
      <c r="E68" s="91"/>
      <c r="F68" s="160">
        <f t="shared" si="11"/>
        <v>0</v>
      </c>
      <c r="G68" s="128">
        <f t="shared" si="12"/>
        <v>0</v>
      </c>
      <c r="H68" s="129">
        <f t="shared" si="13"/>
        <v>0</v>
      </c>
      <c r="I68" s="91"/>
      <c r="J68" s="91"/>
      <c r="K68" s="91"/>
      <c r="L68" s="91"/>
      <c r="M68" s="91"/>
      <c r="N68" s="91"/>
      <c r="O68" s="91"/>
      <c r="P68" s="91"/>
      <c r="Q68" s="91"/>
      <c r="R68" s="13">
        <f t="shared" si="0"/>
        <v>0</v>
      </c>
      <c r="S68" s="7">
        <f t="shared" si="10"/>
        <v>0</v>
      </c>
    </row>
    <row r="69" spans="1:19" ht="15">
      <c r="A69" s="46" t="s">
        <v>31</v>
      </c>
      <c r="B69" s="91"/>
      <c r="C69" s="91"/>
      <c r="D69" s="124"/>
      <c r="E69" s="91"/>
      <c r="F69" s="125">
        <f t="shared" si="11"/>
        <v>0</v>
      </c>
      <c r="G69" s="128">
        <f t="shared" si="12"/>
        <v>0</v>
      </c>
      <c r="H69" s="129">
        <f t="shared" si="13"/>
        <v>0</v>
      </c>
      <c r="I69" s="91"/>
      <c r="J69" s="91"/>
      <c r="K69" s="91"/>
      <c r="L69" s="91"/>
      <c r="M69" s="91"/>
      <c r="N69" s="91"/>
      <c r="O69" s="91"/>
      <c r="P69" s="91"/>
      <c r="Q69" s="91"/>
      <c r="R69" s="13">
        <f t="shared" si="0"/>
        <v>0</v>
      </c>
      <c r="S69" s="7">
        <f t="shared" si="10"/>
        <v>0</v>
      </c>
    </row>
    <row r="70" spans="1:19" ht="15">
      <c r="A70" s="46" t="s">
        <v>32</v>
      </c>
      <c r="B70" s="91"/>
      <c r="C70" s="91"/>
      <c r="D70" s="124"/>
      <c r="E70" s="91"/>
      <c r="F70" s="125">
        <f t="shared" si="11"/>
        <v>0</v>
      </c>
      <c r="G70" s="128">
        <f t="shared" si="12"/>
        <v>0</v>
      </c>
      <c r="H70" s="129">
        <f t="shared" si="13"/>
        <v>0</v>
      </c>
      <c r="I70" s="91"/>
      <c r="J70" s="91"/>
      <c r="K70" s="91"/>
      <c r="L70" s="91"/>
      <c r="M70" s="91"/>
      <c r="N70" s="91"/>
      <c r="O70" s="91"/>
      <c r="P70" s="91"/>
      <c r="Q70" s="91"/>
      <c r="R70" s="13">
        <f t="shared" si="0"/>
        <v>0</v>
      </c>
      <c r="S70" s="7">
        <f t="shared" si="10"/>
        <v>0</v>
      </c>
    </row>
    <row r="71" spans="1:19" ht="15">
      <c r="A71" s="4" t="s">
        <v>172</v>
      </c>
      <c r="B71" s="109">
        <v>2500</v>
      </c>
      <c r="C71" s="64">
        <v>0</v>
      </c>
      <c r="D71" s="126"/>
      <c r="E71" s="109">
        <v>0</v>
      </c>
      <c r="F71" s="144">
        <f t="shared" si="11"/>
        <v>-2500</v>
      </c>
      <c r="G71" s="128">
        <f t="shared" si="12"/>
        <v>0</v>
      </c>
      <c r="H71" s="129">
        <f t="shared" si="13"/>
        <v>0</v>
      </c>
      <c r="I71" s="91"/>
      <c r="J71" s="109"/>
      <c r="K71" s="130"/>
      <c r="L71" s="109"/>
      <c r="M71" s="109"/>
      <c r="N71" s="109"/>
      <c r="O71" s="109"/>
      <c r="P71" s="68"/>
      <c r="Q71" s="68">
        <v>1985</v>
      </c>
      <c r="R71" s="13">
        <f t="shared" si="0"/>
        <v>1985</v>
      </c>
      <c r="S71" s="7">
        <f t="shared" si="10"/>
        <v>1985</v>
      </c>
    </row>
    <row r="72" spans="1:19" ht="15">
      <c r="A72" s="4" t="s">
        <v>117</v>
      </c>
      <c r="B72" s="109">
        <v>1100</v>
      </c>
      <c r="C72" s="64">
        <v>557.88</v>
      </c>
      <c r="D72" s="126"/>
      <c r="E72" s="109">
        <v>1100</v>
      </c>
      <c r="F72" s="144">
        <f t="shared" si="11"/>
        <v>0</v>
      </c>
      <c r="G72" s="128">
        <f t="shared" si="12"/>
        <v>89.54</v>
      </c>
      <c r="H72" s="129">
        <f t="shared" si="13"/>
        <v>133.32</v>
      </c>
      <c r="I72" s="91"/>
      <c r="J72" s="109"/>
      <c r="K72" s="130"/>
      <c r="L72" s="109"/>
      <c r="M72" s="109"/>
      <c r="N72" s="109"/>
      <c r="O72" s="109"/>
      <c r="P72" s="68"/>
      <c r="Q72" s="68">
        <v>873</v>
      </c>
      <c r="R72" s="13">
        <f t="shared" si="0"/>
        <v>1095.8600000000001</v>
      </c>
      <c r="S72" s="7">
        <f t="shared" si="10"/>
        <v>-4.139999999999873</v>
      </c>
    </row>
    <row r="73" spans="1:19" ht="15">
      <c r="A73" s="4" t="s">
        <v>121</v>
      </c>
      <c r="B73" s="109">
        <v>1200</v>
      </c>
      <c r="C73" s="63">
        <v>429.89</v>
      </c>
      <c r="D73" s="126"/>
      <c r="E73" s="109">
        <v>1000</v>
      </c>
      <c r="F73" s="144">
        <f t="shared" si="11"/>
        <v>-200</v>
      </c>
      <c r="G73" s="128">
        <f t="shared" si="12"/>
        <v>81.4</v>
      </c>
      <c r="H73" s="129">
        <f t="shared" si="13"/>
        <v>121.2</v>
      </c>
      <c r="I73" s="91"/>
      <c r="J73" s="109"/>
      <c r="K73" s="130"/>
      <c r="L73" s="109"/>
      <c r="M73" s="109"/>
      <c r="N73" s="109"/>
      <c r="O73" s="109"/>
      <c r="P73" s="68"/>
      <c r="Q73" s="68">
        <v>953</v>
      </c>
      <c r="R73" s="13">
        <f t="shared" si="0"/>
        <v>1155.6</v>
      </c>
      <c r="S73" s="7">
        <f t="shared" si="10"/>
        <v>155.5999999999999</v>
      </c>
    </row>
    <row r="74" spans="1:19" ht="15">
      <c r="A74" s="4" t="s">
        <v>33</v>
      </c>
      <c r="B74" s="109">
        <v>1000</v>
      </c>
      <c r="C74" s="63">
        <v>145</v>
      </c>
      <c r="D74" s="126"/>
      <c r="E74" s="109">
        <v>500</v>
      </c>
      <c r="F74" s="144">
        <f t="shared" si="11"/>
        <v>-500</v>
      </c>
      <c r="G74" s="128">
        <f t="shared" si="12"/>
        <v>40.7</v>
      </c>
      <c r="H74" s="129">
        <f t="shared" si="13"/>
        <v>60.6</v>
      </c>
      <c r="I74" s="91"/>
      <c r="J74" s="130"/>
      <c r="K74" s="130"/>
      <c r="L74" s="130"/>
      <c r="M74" s="130"/>
      <c r="N74" s="130"/>
      <c r="O74" s="130"/>
      <c r="P74" s="130"/>
      <c r="Q74" s="68">
        <v>794</v>
      </c>
      <c r="R74" s="13">
        <f t="shared" si="0"/>
        <v>895.3</v>
      </c>
      <c r="S74" s="7">
        <f t="shared" si="10"/>
        <v>395.29999999999995</v>
      </c>
    </row>
    <row r="75" spans="1:19" ht="15">
      <c r="A75" s="4" t="s">
        <v>34</v>
      </c>
      <c r="B75" s="109">
        <v>2500</v>
      </c>
      <c r="C75" s="68">
        <v>1216.44</v>
      </c>
      <c r="D75" s="126"/>
      <c r="E75" s="109">
        <v>2500</v>
      </c>
      <c r="F75" s="144">
        <f t="shared" si="11"/>
        <v>0</v>
      </c>
      <c r="G75" s="128">
        <f t="shared" si="12"/>
        <v>203.5</v>
      </c>
      <c r="H75" s="129">
        <f t="shared" si="13"/>
        <v>303</v>
      </c>
      <c r="I75" s="91"/>
      <c r="J75" s="109"/>
      <c r="K75" s="130"/>
      <c r="L75" s="109"/>
      <c r="M75" s="109"/>
      <c r="N75" s="109"/>
      <c r="O75" s="109"/>
      <c r="P75" s="68"/>
      <c r="Q75" s="68">
        <v>1985</v>
      </c>
      <c r="R75" s="13">
        <f t="shared" si="0"/>
        <v>2491.5</v>
      </c>
      <c r="S75" s="7">
        <f t="shared" si="10"/>
        <v>-8.5</v>
      </c>
    </row>
    <row r="76" spans="1:19" ht="15">
      <c r="A76" s="46" t="s">
        <v>35</v>
      </c>
      <c r="B76" s="91"/>
      <c r="C76" s="90"/>
      <c r="D76" s="124"/>
      <c r="E76" s="91"/>
      <c r="F76" s="125">
        <f t="shared" si="11"/>
        <v>0</v>
      </c>
      <c r="G76" s="128">
        <f t="shared" si="12"/>
        <v>0</v>
      </c>
      <c r="H76" s="129">
        <f t="shared" si="13"/>
        <v>0</v>
      </c>
      <c r="I76" s="91"/>
      <c r="J76" s="91"/>
      <c r="K76" s="91"/>
      <c r="L76" s="91"/>
      <c r="M76" s="91"/>
      <c r="N76" s="91"/>
      <c r="O76" s="91"/>
      <c r="P76" s="91"/>
      <c r="Q76" s="91"/>
      <c r="R76" s="13">
        <f t="shared" si="0"/>
        <v>0</v>
      </c>
      <c r="S76" s="7">
        <f t="shared" si="10"/>
        <v>0</v>
      </c>
    </row>
    <row r="77" spans="1:19" ht="15">
      <c r="A77" s="4" t="s">
        <v>36</v>
      </c>
      <c r="B77" s="109">
        <v>38400</v>
      </c>
      <c r="C77" s="63">
        <v>19200</v>
      </c>
      <c r="D77" s="126">
        <v>38400</v>
      </c>
      <c r="E77" s="109">
        <v>38400</v>
      </c>
      <c r="F77" s="144">
        <f t="shared" si="11"/>
        <v>0</v>
      </c>
      <c r="G77" s="128">
        <f t="shared" si="12"/>
        <v>3125.76</v>
      </c>
      <c r="H77" s="129">
        <f t="shared" si="13"/>
        <v>4654.08</v>
      </c>
      <c r="I77" s="91"/>
      <c r="J77" s="68"/>
      <c r="K77" s="130"/>
      <c r="L77" s="109"/>
      <c r="M77" s="109"/>
      <c r="N77" s="109"/>
      <c r="O77" s="109"/>
      <c r="P77" s="130"/>
      <c r="Q77" s="68">
        <v>30482</v>
      </c>
      <c r="R77" s="13">
        <f aca="true" t="shared" si="14" ref="R77:R130">SUM(G77:Q77)</f>
        <v>38261.84</v>
      </c>
      <c r="S77" s="7">
        <f t="shared" si="10"/>
        <v>-138.1600000000035</v>
      </c>
    </row>
    <row r="78" spans="1:19" ht="15">
      <c r="A78" s="4" t="s">
        <v>37</v>
      </c>
      <c r="B78" s="109">
        <v>1600</v>
      </c>
      <c r="C78" s="68">
        <v>600</v>
      </c>
      <c r="D78" s="126">
        <f>600+675</f>
        <v>1275</v>
      </c>
      <c r="E78" s="109">
        <v>1300</v>
      </c>
      <c r="F78" s="144">
        <f t="shared" si="11"/>
        <v>-300</v>
      </c>
      <c r="G78" s="128">
        <f t="shared" si="12"/>
        <v>105.82</v>
      </c>
      <c r="H78" s="129">
        <f t="shared" si="13"/>
        <v>157.56</v>
      </c>
      <c r="I78" s="91"/>
      <c r="J78" s="68"/>
      <c r="K78" s="130"/>
      <c r="L78" s="109"/>
      <c r="M78" s="109"/>
      <c r="N78" s="109"/>
      <c r="O78" s="109"/>
      <c r="P78" s="130"/>
      <c r="Q78" s="68">
        <v>1270</v>
      </c>
      <c r="R78" s="13">
        <f t="shared" si="14"/>
        <v>1533.38</v>
      </c>
      <c r="S78" s="7">
        <f t="shared" si="10"/>
        <v>233.3800000000001</v>
      </c>
    </row>
    <row r="79" spans="1:19" ht="15">
      <c r="A79" s="46" t="s">
        <v>38</v>
      </c>
      <c r="B79" s="91"/>
      <c r="C79" s="90"/>
      <c r="D79" s="124"/>
      <c r="E79" s="91"/>
      <c r="F79" s="125">
        <f t="shared" si="11"/>
        <v>0</v>
      </c>
      <c r="G79" s="128">
        <f t="shared" si="12"/>
        <v>0</v>
      </c>
      <c r="H79" s="129">
        <f t="shared" si="13"/>
        <v>0</v>
      </c>
      <c r="I79" s="91"/>
      <c r="J79" s="91"/>
      <c r="K79" s="91"/>
      <c r="L79" s="91"/>
      <c r="M79" s="91"/>
      <c r="N79" s="91"/>
      <c r="O79" s="91"/>
      <c r="P79" s="91"/>
      <c r="Q79" s="91"/>
      <c r="R79" s="13">
        <f t="shared" si="14"/>
        <v>0</v>
      </c>
      <c r="S79" s="7">
        <f t="shared" si="10"/>
        <v>0</v>
      </c>
    </row>
    <row r="80" spans="1:19" ht="15">
      <c r="A80" s="4" t="s">
        <v>127</v>
      </c>
      <c r="B80" s="109">
        <v>11000</v>
      </c>
      <c r="C80" s="68">
        <v>7828.6</v>
      </c>
      <c r="D80" s="126"/>
      <c r="E80" s="109">
        <v>14400</v>
      </c>
      <c r="F80" s="144">
        <f t="shared" si="11"/>
        <v>3400</v>
      </c>
      <c r="G80" s="128">
        <f t="shared" si="12"/>
        <v>1172.16</v>
      </c>
      <c r="H80" s="129">
        <f t="shared" si="13"/>
        <v>1745.28</v>
      </c>
      <c r="I80" s="91"/>
      <c r="J80" s="109"/>
      <c r="K80" s="130"/>
      <c r="L80" s="130"/>
      <c r="M80" s="130"/>
      <c r="N80" s="130"/>
      <c r="O80" s="130"/>
      <c r="P80" s="130"/>
      <c r="Q80" s="68">
        <v>8732</v>
      </c>
      <c r="R80" s="13">
        <f t="shared" si="14"/>
        <v>11649.44</v>
      </c>
      <c r="S80" s="7">
        <f t="shared" si="10"/>
        <v>-2750.5599999999995</v>
      </c>
    </row>
    <row r="81" spans="1:19" ht="15">
      <c r="A81" s="46" t="s">
        <v>39</v>
      </c>
      <c r="B81" s="91"/>
      <c r="C81" s="90"/>
      <c r="D81" s="124"/>
      <c r="E81" s="91"/>
      <c r="F81" s="125">
        <f t="shared" si="11"/>
        <v>0</v>
      </c>
      <c r="G81" s="128">
        <f>+E81*0.0861</f>
        <v>0</v>
      </c>
      <c r="H81" s="129">
        <f t="shared" si="13"/>
        <v>0</v>
      </c>
      <c r="I81" s="91"/>
      <c r="J81" s="91"/>
      <c r="K81" s="91"/>
      <c r="L81" s="91"/>
      <c r="M81" s="91"/>
      <c r="N81" s="91"/>
      <c r="O81" s="91"/>
      <c r="P81" s="91"/>
      <c r="Q81" s="91"/>
      <c r="R81" s="13">
        <f t="shared" si="14"/>
        <v>0</v>
      </c>
      <c r="S81" s="7">
        <f t="shared" si="10"/>
        <v>0</v>
      </c>
    </row>
    <row r="82" spans="1:19" ht="15">
      <c r="A82" s="51" t="s">
        <v>128</v>
      </c>
      <c r="B82" s="68">
        <v>418145</v>
      </c>
      <c r="C82" s="64">
        <v>164459.896</v>
      </c>
      <c r="D82" s="126">
        <v>351800</v>
      </c>
      <c r="E82" s="68">
        <f>+'$2 increase'!E47</f>
        <v>495958.83999999997</v>
      </c>
      <c r="F82" s="144">
        <f t="shared" si="11"/>
        <v>77813.83999999997</v>
      </c>
      <c r="G82" s="128">
        <f>+ADC!E20</f>
        <v>139596.6</v>
      </c>
      <c r="H82" s="129">
        <f>+Nutrition!E17</f>
        <v>94462.16</v>
      </c>
      <c r="I82" s="91"/>
      <c r="J82" s="161"/>
      <c r="K82" s="130"/>
      <c r="L82" s="68"/>
      <c r="M82" s="68"/>
      <c r="N82" s="68"/>
      <c r="O82" s="68"/>
      <c r="P82" s="68"/>
      <c r="Q82" s="68">
        <v>206669</v>
      </c>
      <c r="R82" s="13">
        <f t="shared" si="14"/>
        <v>440727.76</v>
      </c>
      <c r="S82" s="7">
        <f t="shared" si="10"/>
        <v>-55231.07999999996</v>
      </c>
    </row>
    <row r="83" spans="1:19" ht="15">
      <c r="A83" s="51" t="s">
        <v>129</v>
      </c>
      <c r="B83" s="68">
        <v>31106</v>
      </c>
      <c r="C83" s="64">
        <v>14022.9</v>
      </c>
      <c r="D83" s="126">
        <v>29609</v>
      </c>
      <c r="E83" s="68">
        <f>+'$2 increase'!F47</f>
        <v>36103.01526</v>
      </c>
      <c r="F83" s="144">
        <f t="shared" si="11"/>
        <v>4997.01526</v>
      </c>
      <c r="G83" s="128">
        <f>+ADC!F20</f>
        <v>8841.303899999999</v>
      </c>
      <c r="H83" s="129">
        <f>+Nutrition!F17</f>
        <v>7226.35524</v>
      </c>
      <c r="I83" s="91"/>
      <c r="J83" s="161"/>
      <c r="K83" s="130"/>
      <c r="L83" s="68"/>
      <c r="M83" s="68"/>
      <c r="N83" s="68"/>
      <c r="O83" s="68"/>
      <c r="P83" s="68"/>
      <c r="Q83" s="68">
        <v>15810</v>
      </c>
      <c r="R83" s="13">
        <f t="shared" si="14"/>
        <v>31877.65914</v>
      </c>
      <c r="S83" s="7">
        <f t="shared" si="10"/>
        <v>-4225.35612</v>
      </c>
    </row>
    <row r="84" spans="1:19" ht="15">
      <c r="A84" s="51" t="s">
        <v>130</v>
      </c>
      <c r="B84" s="68">
        <v>2869</v>
      </c>
      <c r="C84" s="64">
        <v>147</v>
      </c>
      <c r="D84" s="126"/>
      <c r="E84" s="68">
        <f>+'$2 increase'!G47</f>
        <v>2679.8778</v>
      </c>
      <c r="F84" s="144">
        <f t="shared" si="11"/>
        <v>-189.1221999999998</v>
      </c>
      <c r="G84" s="128">
        <f>+ADC!G20</f>
        <v>720.016</v>
      </c>
      <c r="H84" s="129">
        <f>+Nutrition!G17</f>
        <v>540</v>
      </c>
      <c r="I84" s="91"/>
      <c r="J84" s="161"/>
      <c r="K84" s="130"/>
      <c r="L84" s="68"/>
      <c r="M84" s="68"/>
      <c r="N84" s="68"/>
      <c r="O84" s="68"/>
      <c r="P84" s="68"/>
      <c r="Q84" s="68">
        <v>1477</v>
      </c>
      <c r="R84" s="13">
        <f t="shared" si="14"/>
        <v>2737.016</v>
      </c>
      <c r="S84" s="7">
        <f t="shared" si="10"/>
        <v>57.13819999999987</v>
      </c>
    </row>
    <row r="85" spans="1:19" ht="15">
      <c r="A85" s="51" t="s">
        <v>131</v>
      </c>
      <c r="B85" s="68">
        <v>5710</v>
      </c>
      <c r="C85" s="64">
        <v>3939</v>
      </c>
      <c r="D85" s="126">
        <v>5676</v>
      </c>
      <c r="E85" s="68">
        <f>+'3% COLA'!H47</f>
        <v>5986.601446799999</v>
      </c>
      <c r="F85" s="144">
        <f t="shared" si="11"/>
        <v>276.6014467999994</v>
      </c>
      <c r="G85" s="128">
        <f>+ADC!H20</f>
        <v>1907.0843999999997</v>
      </c>
      <c r="H85" s="129">
        <f>+Nutrition!H17</f>
        <v>1613.3748799999998</v>
      </c>
      <c r="I85" s="91"/>
      <c r="J85" s="161"/>
      <c r="K85" s="130"/>
      <c r="L85" s="68"/>
      <c r="M85" s="68"/>
      <c r="N85" s="68"/>
      <c r="O85" s="68"/>
      <c r="P85" s="68"/>
      <c r="Q85" s="68">
        <v>1055</v>
      </c>
      <c r="R85" s="13">
        <f t="shared" si="14"/>
        <v>4575.459279999999</v>
      </c>
      <c r="S85" s="7">
        <f t="shared" si="10"/>
        <v>-1411.1421668000003</v>
      </c>
    </row>
    <row r="86" spans="1:19" ht="15">
      <c r="A86" s="46" t="s">
        <v>40</v>
      </c>
      <c r="B86" s="91">
        <v>-15000</v>
      </c>
      <c r="C86" s="90"/>
      <c r="D86" s="124"/>
      <c r="E86" s="91"/>
      <c r="F86" s="125">
        <f t="shared" si="11"/>
        <v>15000</v>
      </c>
      <c r="G86" s="128"/>
      <c r="H86" s="129"/>
      <c r="I86" s="91"/>
      <c r="J86" s="91"/>
      <c r="K86" s="91"/>
      <c r="L86" s="91"/>
      <c r="M86" s="91"/>
      <c r="N86" s="91"/>
      <c r="O86" s="91"/>
      <c r="P86" s="91"/>
      <c r="Q86" s="91"/>
      <c r="R86" s="13">
        <f t="shared" si="14"/>
        <v>0</v>
      </c>
      <c r="S86" s="7">
        <f t="shared" si="10"/>
        <v>0</v>
      </c>
    </row>
    <row r="87" spans="1:19" ht="15">
      <c r="A87" s="4" t="s">
        <v>132</v>
      </c>
      <c r="B87" s="68">
        <v>3527</v>
      </c>
      <c r="C87" s="63">
        <v>984.78</v>
      </c>
      <c r="D87" s="126"/>
      <c r="E87" s="68">
        <f>+'3% COLA'!I47</f>
        <v>3135.04</v>
      </c>
      <c r="F87" s="144">
        <f t="shared" si="11"/>
        <v>-391.96000000000004</v>
      </c>
      <c r="G87" s="128">
        <f>+ADC!I20</f>
        <v>762.96</v>
      </c>
      <c r="H87" s="129">
        <f>+Nutrition!I17</f>
        <v>381.48</v>
      </c>
      <c r="I87" s="91"/>
      <c r="J87" s="68"/>
      <c r="K87" s="130"/>
      <c r="L87" s="68"/>
      <c r="M87" s="68"/>
      <c r="N87" s="68"/>
      <c r="O87" s="68"/>
      <c r="P87" s="68"/>
      <c r="Q87" s="68">
        <v>1959</v>
      </c>
      <c r="R87" s="13">
        <f t="shared" si="14"/>
        <v>3103.44</v>
      </c>
      <c r="S87" s="7">
        <f t="shared" si="10"/>
        <v>-31.59999999999991</v>
      </c>
    </row>
    <row r="88" spans="1:19" ht="15">
      <c r="A88" s="4" t="s">
        <v>133</v>
      </c>
      <c r="B88" s="68">
        <v>7801</v>
      </c>
      <c r="C88" s="63">
        <v>2863.78</v>
      </c>
      <c r="D88" s="126"/>
      <c r="E88" s="68">
        <f>+'$2 increase'!J47</f>
        <v>9220.036799999998</v>
      </c>
      <c r="F88" s="144">
        <f t="shared" si="11"/>
        <v>1419.036799999998</v>
      </c>
      <c r="G88" s="128">
        <f>+ADC!J20</f>
        <v>2478.138</v>
      </c>
      <c r="H88" s="129">
        <f>+Nutrition!K17</f>
        <v>1510.9848000000002</v>
      </c>
      <c r="I88" s="91"/>
      <c r="J88" s="68"/>
      <c r="K88" s="130"/>
      <c r="L88" s="68"/>
      <c r="M88" s="68"/>
      <c r="N88" s="68"/>
      <c r="O88" s="68"/>
      <c r="P88" s="68"/>
      <c r="Q88" s="68">
        <v>3992</v>
      </c>
      <c r="R88" s="13">
        <f t="shared" si="14"/>
        <v>7981.1228</v>
      </c>
      <c r="S88" s="7">
        <f t="shared" si="10"/>
        <v>-1238.913999999998</v>
      </c>
    </row>
    <row r="89" spans="1:19" ht="15">
      <c r="A89" s="4" t="s">
        <v>134</v>
      </c>
      <c r="B89" s="68">
        <v>7801</v>
      </c>
      <c r="C89" s="63">
        <v>2872.78</v>
      </c>
      <c r="D89" s="126"/>
      <c r="E89" s="68">
        <f>+'$2 increase'!K47</f>
        <v>9220.036799999998</v>
      </c>
      <c r="F89" s="144">
        <f t="shared" si="11"/>
        <v>1419.036799999998</v>
      </c>
      <c r="G89" s="128">
        <f>+ADC!K20</f>
        <v>2478.138</v>
      </c>
      <c r="H89" s="129">
        <f>+Nutrition!J17</f>
        <v>1510.9848000000002</v>
      </c>
      <c r="I89" s="91"/>
      <c r="J89" s="68"/>
      <c r="K89" s="130"/>
      <c r="L89" s="68"/>
      <c r="M89" s="68"/>
      <c r="N89" s="68"/>
      <c r="O89" s="68"/>
      <c r="P89" s="68"/>
      <c r="Q89" s="68">
        <v>4524</v>
      </c>
      <c r="R89" s="13">
        <f t="shared" si="14"/>
        <v>8513.122800000001</v>
      </c>
      <c r="S89" s="7">
        <f t="shared" si="10"/>
        <v>-706.913999999997</v>
      </c>
    </row>
    <row r="90" spans="1:19" ht="15">
      <c r="A90" s="4" t="s">
        <v>135</v>
      </c>
      <c r="B90" s="68">
        <v>1150</v>
      </c>
      <c r="C90" s="68">
        <v>1100</v>
      </c>
      <c r="D90" s="126"/>
      <c r="E90" s="68">
        <v>1150</v>
      </c>
      <c r="F90" s="144">
        <f t="shared" si="11"/>
        <v>0</v>
      </c>
      <c r="G90" s="128">
        <v>400</v>
      </c>
      <c r="H90" s="129">
        <v>250</v>
      </c>
      <c r="I90" s="91"/>
      <c r="J90" s="68"/>
      <c r="K90" s="130"/>
      <c r="L90" s="68"/>
      <c r="M90" s="68"/>
      <c r="N90" s="68"/>
      <c r="O90" s="68"/>
      <c r="P90" s="68"/>
      <c r="Q90" s="68">
        <v>500</v>
      </c>
      <c r="R90" s="13">
        <f t="shared" si="14"/>
        <v>1150</v>
      </c>
      <c r="S90" s="7">
        <f t="shared" si="10"/>
        <v>0</v>
      </c>
    </row>
    <row r="91" spans="1:19" ht="15">
      <c r="A91" s="46" t="s">
        <v>41</v>
      </c>
      <c r="B91" s="91"/>
      <c r="C91" s="90"/>
      <c r="D91" s="124"/>
      <c r="E91" s="91"/>
      <c r="F91" s="125">
        <f t="shared" si="11"/>
        <v>0</v>
      </c>
      <c r="G91" s="128"/>
      <c r="H91" s="129"/>
      <c r="I91" s="91"/>
      <c r="J91" s="91"/>
      <c r="K91" s="91"/>
      <c r="L91" s="91"/>
      <c r="M91" s="91"/>
      <c r="N91" s="91"/>
      <c r="O91" s="91"/>
      <c r="P91" s="91"/>
      <c r="Q91" s="91"/>
      <c r="R91" s="13">
        <f t="shared" si="14"/>
        <v>0</v>
      </c>
      <c r="S91" s="7">
        <f t="shared" si="10"/>
        <v>0</v>
      </c>
    </row>
    <row r="92" spans="1:19" ht="15">
      <c r="A92" s="46" t="s">
        <v>42</v>
      </c>
      <c r="B92" s="91">
        <v>2000</v>
      </c>
      <c r="C92" s="91">
        <v>7709.88</v>
      </c>
      <c r="D92" s="124"/>
      <c r="E92" s="91">
        <v>2000</v>
      </c>
      <c r="F92" s="125">
        <f t="shared" si="11"/>
        <v>0</v>
      </c>
      <c r="G92" s="128">
        <f aca="true" t="shared" si="15" ref="G92:G129">+E92*0.0814</f>
        <v>162.8</v>
      </c>
      <c r="H92" s="129">
        <f aca="true" t="shared" si="16" ref="H92:H129">+E92*0.1212</f>
        <v>242.4</v>
      </c>
      <c r="I92" s="91"/>
      <c r="J92" s="91"/>
      <c r="K92" s="91"/>
      <c r="L92" s="91"/>
      <c r="M92" s="91"/>
      <c r="N92" s="91"/>
      <c r="O92" s="91"/>
      <c r="P92" s="91"/>
      <c r="Q92" s="91">
        <v>8732</v>
      </c>
      <c r="R92" s="13">
        <f t="shared" si="14"/>
        <v>9137.2</v>
      </c>
      <c r="S92" s="7">
        <f t="shared" si="10"/>
        <v>7137.200000000001</v>
      </c>
    </row>
    <row r="93" spans="1:19" ht="15">
      <c r="A93" s="46" t="s">
        <v>43</v>
      </c>
      <c r="B93" s="91"/>
      <c r="C93" s="90"/>
      <c r="D93" s="124"/>
      <c r="E93" s="91"/>
      <c r="F93" s="125">
        <f t="shared" si="11"/>
        <v>0</v>
      </c>
      <c r="G93" s="128">
        <f t="shared" si="15"/>
        <v>0</v>
      </c>
      <c r="H93" s="129">
        <f t="shared" si="16"/>
        <v>0</v>
      </c>
      <c r="I93" s="91"/>
      <c r="J93" s="91"/>
      <c r="K93" s="91"/>
      <c r="L93" s="91"/>
      <c r="M93" s="91"/>
      <c r="N93" s="91"/>
      <c r="O93" s="91"/>
      <c r="P93" s="91"/>
      <c r="Q93" s="91"/>
      <c r="R93" s="13">
        <f t="shared" si="14"/>
        <v>0</v>
      </c>
      <c r="S93" s="7">
        <f t="shared" si="10"/>
        <v>0</v>
      </c>
    </row>
    <row r="94" spans="1:19" ht="15">
      <c r="A94" s="4" t="s">
        <v>136</v>
      </c>
      <c r="B94" s="68">
        <v>48000</v>
      </c>
      <c r="C94" s="64">
        <v>19177.1</v>
      </c>
      <c r="D94" s="126"/>
      <c r="E94" s="68">
        <v>40000</v>
      </c>
      <c r="F94" s="144">
        <f t="shared" si="11"/>
        <v>-8000</v>
      </c>
      <c r="G94" s="128"/>
      <c r="H94" s="129">
        <v>43600</v>
      </c>
      <c r="I94" s="91"/>
      <c r="J94" s="68"/>
      <c r="K94" s="130"/>
      <c r="L94" s="130"/>
      <c r="M94" s="130"/>
      <c r="N94" s="130"/>
      <c r="O94" s="130"/>
      <c r="P94" s="130"/>
      <c r="Q94" s="68"/>
      <c r="R94" s="13">
        <f t="shared" si="14"/>
        <v>43600</v>
      </c>
      <c r="S94" s="7">
        <f t="shared" si="10"/>
        <v>3600</v>
      </c>
    </row>
    <row r="95" spans="1:19" ht="15">
      <c r="A95" s="4" t="s">
        <v>138</v>
      </c>
      <c r="B95" s="109">
        <v>100</v>
      </c>
      <c r="C95" s="64">
        <v>30</v>
      </c>
      <c r="D95" s="126"/>
      <c r="E95" s="109">
        <v>100</v>
      </c>
      <c r="F95" s="144">
        <f t="shared" si="11"/>
        <v>0</v>
      </c>
      <c r="G95" s="128"/>
      <c r="H95" s="129">
        <v>100</v>
      </c>
      <c r="I95" s="91"/>
      <c r="J95" s="130"/>
      <c r="K95" s="130"/>
      <c r="L95" s="130"/>
      <c r="M95" s="130"/>
      <c r="N95" s="130"/>
      <c r="O95" s="130"/>
      <c r="P95" s="130"/>
      <c r="Q95" s="68">
        <v>79</v>
      </c>
      <c r="R95" s="13">
        <f t="shared" si="14"/>
        <v>179</v>
      </c>
      <c r="S95" s="7">
        <f t="shared" si="10"/>
        <v>79</v>
      </c>
    </row>
    <row r="96" spans="1:19" ht="15">
      <c r="A96" s="4" t="s">
        <v>137</v>
      </c>
      <c r="B96" s="109">
        <v>8500</v>
      </c>
      <c r="C96" s="68">
        <v>3181.27</v>
      </c>
      <c r="D96" s="126"/>
      <c r="E96" s="109">
        <v>6000</v>
      </c>
      <c r="F96" s="144">
        <f t="shared" si="11"/>
        <v>-2500</v>
      </c>
      <c r="G96" s="128"/>
      <c r="H96" s="129">
        <v>6500</v>
      </c>
      <c r="I96" s="91"/>
      <c r="J96" s="68"/>
      <c r="K96" s="130"/>
      <c r="L96" s="130"/>
      <c r="M96" s="130"/>
      <c r="N96" s="130"/>
      <c r="O96" s="130"/>
      <c r="P96" s="130"/>
      <c r="Q96" s="68"/>
      <c r="R96" s="13">
        <f t="shared" si="14"/>
        <v>6500</v>
      </c>
      <c r="S96" s="7">
        <f t="shared" si="10"/>
        <v>500</v>
      </c>
    </row>
    <row r="97" spans="1:19" ht="15">
      <c r="A97" s="46" t="s">
        <v>44</v>
      </c>
      <c r="B97" s="91"/>
      <c r="C97" s="90"/>
      <c r="D97" s="124"/>
      <c r="E97" s="91"/>
      <c r="F97" s="125">
        <f t="shared" si="11"/>
        <v>0</v>
      </c>
      <c r="G97" s="128">
        <f t="shared" si="15"/>
        <v>0</v>
      </c>
      <c r="H97" s="129">
        <f t="shared" si="16"/>
        <v>0</v>
      </c>
      <c r="I97" s="91"/>
      <c r="J97" s="91"/>
      <c r="K97" s="91"/>
      <c r="L97" s="91"/>
      <c r="M97" s="91"/>
      <c r="N97" s="91"/>
      <c r="O97" s="91"/>
      <c r="P97" s="91"/>
      <c r="Q97" s="91"/>
      <c r="R97" s="13">
        <f t="shared" si="14"/>
        <v>0</v>
      </c>
      <c r="S97" s="7">
        <f t="shared" si="10"/>
        <v>0</v>
      </c>
    </row>
    <row r="98" spans="1:19" ht="15">
      <c r="A98" s="4" t="s">
        <v>160</v>
      </c>
      <c r="B98" s="109">
        <v>2800</v>
      </c>
      <c r="C98" s="63">
        <v>0</v>
      </c>
      <c r="D98" s="126"/>
      <c r="E98" s="109">
        <v>2820</v>
      </c>
      <c r="F98" s="144">
        <f t="shared" si="11"/>
        <v>20</v>
      </c>
      <c r="G98" s="128">
        <f t="shared" si="15"/>
        <v>229.548</v>
      </c>
      <c r="H98" s="129">
        <f t="shared" si="16"/>
        <v>341.784</v>
      </c>
      <c r="I98" s="91"/>
      <c r="J98" s="130"/>
      <c r="K98" s="130"/>
      <c r="L98" s="130"/>
      <c r="M98" s="130"/>
      <c r="N98" s="130"/>
      <c r="O98" s="130"/>
      <c r="P98" s="130"/>
      <c r="Q98" s="68">
        <v>2223</v>
      </c>
      <c r="R98" s="13">
        <f t="shared" si="14"/>
        <v>2794.332</v>
      </c>
      <c r="S98" s="7">
        <f t="shared" si="10"/>
        <v>-25.66800000000012</v>
      </c>
    </row>
    <row r="99" spans="1:19" ht="15">
      <c r="A99" s="4" t="s">
        <v>161</v>
      </c>
      <c r="B99" s="109">
        <v>2310</v>
      </c>
      <c r="C99" s="64">
        <v>0</v>
      </c>
      <c r="D99" s="126"/>
      <c r="E99" s="109">
        <v>2338</v>
      </c>
      <c r="F99" s="144">
        <f t="shared" si="11"/>
        <v>28</v>
      </c>
      <c r="G99" s="128">
        <f t="shared" si="15"/>
        <v>190.3132</v>
      </c>
      <c r="H99" s="129">
        <f t="shared" si="16"/>
        <v>283.36560000000003</v>
      </c>
      <c r="I99" s="91"/>
      <c r="J99" s="130"/>
      <c r="K99" s="130"/>
      <c r="L99" s="130"/>
      <c r="M99" s="130"/>
      <c r="N99" s="130"/>
      <c r="O99" s="130"/>
      <c r="P99" s="130"/>
      <c r="Q99" s="68">
        <v>1834</v>
      </c>
      <c r="R99" s="13">
        <f t="shared" si="14"/>
        <v>2307.6788</v>
      </c>
      <c r="S99" s="7">
        <f t="shared" si="10"/>
        <v>-30.321199999999862</v>
      </c>
    </row>
    <row r="100" spans="1:19" ht="15">
      <c r="A100" s="4" t="s">
        <v>162</v>
      </c>
      <c r="B100" s="109">
        <v>816</v>
      </c>
      <c r="C100" s="68">
        <v>0</v>
      </c>
      <c r="D100" s="126"/>
      <c r="E100" s="109">
        <v>842</v>
      </c>
      <c r="F100" s="144">
        <f t="shared" si="11"/>
        <v>26</v>
      </c>
      <c r="G100" s="128">
        <f t="shared" si="15"/>
        <v>68.5388</v>
      </c>
      <c r="H100" s="129">
        <f t="shared" si="16"/>
        <v>102.0504</v>
      </c>
      <c r="I100" s="91"/>
      <c r="J100" s="130"/>
      <c r="K100" s="130"/>
      <c r="L100" s="130"/>
      <c r="M100" s="130"/>
      <c r="N100" s="130"/>
      <c r="O100" s="130"/>
      <c r="P100" s="130"/>
      <c r="Q100" s="68">
        <v>648</v>
      </c>
      <c r="R100" s="13">
        <f t="shared" si="14"/>
        <v>818.5892</v>
      </c>
      <c r="S100" s="7">
        <f t="shared" si="10"/>
        <v>-23.410799999999995</v>
      </c>
    </row>
    <row r="101" spans="1:19" ht="15">
      <c r="A101" s="46" t="s">
        <v>45</v>
      </c>
      <c r="B101" s="91"/>
      <c r="C101" s="90"/>
      <c r="D101" s="124"/>
      <c r="E101" s="91"/>
      <c r="F101" s="125">
        <f t="shared" si="11"/>
        <v>0</v>
      </c>
      <c r="G101" s="128">
        <f t="shared" si="15"/>
        <v>0</v>
      </c>
      <c r="H101" s="129">
        <f t="shared" si="16"/>
        <v>0</v>
      </c>
      <c r="I101" s="91"/>
      <c r="J101" s="91"/>
      <c r="K101" s="91"/>
      <c r="L101" s="91"/>
      <c r="M101" s="91"/>
      <c r="N101" s="91"/>
      <c r="O101" s="91"/>
      <c r="P101" s="91"/>
      <c r="Q101" s="91"/>
      <c r="R101" s="13">
        <f t="shared" si="14"/>
        <v>0</v>
      </c>
      <c r="S101" s="7">
        <f t="shared" si="10"/>
        <v>0</v>
      </c>
    </row>
    <row r="102" spans="1:19" ht="15">
      <c r="A102" s="4" t="s">
        <v>139</v>
      </c>
      <c r="B102" s="109">
        <v>8000</v>
      </c>
      <c r="C102" s="64">
        <v>9450</v>
      </c>
      <c r="D102" s="126"/>
      <c r="E102" s="109">
        <v>9500</v>
      </c>
      <c r="F102" s="144">
        <f t="shared" si="11"/>
        <v>1500</v>
      </c>
      <c r="G102" s="128">
        <f t="shared" si="15"/>
        <v>773.3</v>
      </c>
      <c r="H102" s="129">
        <f t="shared" si="16"/>
        <v>1151.4</v>
      </c>
      <c r="I102" s="91"/>
      <c r="J102" s="130"/>
      <c r="K102" s="130"/>
      <c r="L102" s="130"/>
      <c r="M102" s="130"/>
      <c r="N102" s="130"/>
      <c r="O102" s="130"/>
      <c r="P102" s="130"/>
      <c r="Q102" s="68">
        <v>6350</v>
      </c>
      <c r="R102" s="13">
        <f t="shared" si="14"/>
        <v>8274.7</v>
      </c>
      <c r="S102" s="7">
        <f t="shared" si="10"/>
        <v>-1225.2999999999993</v>
      </c>
    </row>
    <row r="103" spans="1:19" ht="15">
      <c r="A103" s="4" t="s">
        <v>163</v>
      </c>
      <c r="B103" s="109">
        <v>500</v>
      </c>
      <c r="C103" s="63">
        <v>0</v>
      </c>
      <c r="D103" s="126"/>
      <c r="E103" s="109">
        <v>500</v>
      </c>
      <c r="F103" s="144">
        <f t="shared" si="11"/>
        <v>0</v>
      </c>
      <c r="G103" s="128">
        <f t="shared" si="15"/>
        <v>40.7</v>
      </c>
      <c r="H103" s="129">
        <f t="shared" si="16"/>
        <v>60.6</v>
      </c>
      <c r="I103" s="91"/>
      <c r="J103" s="130"/>
      <c r="K103" s="130"/>
      <c r="L103" s="130"/>
      <c r="M103" s="130"/>
      <c r="N103" s="130"/>
      <c r="O103" s="130"/>
      <c r="P103" s="130"/>
      <c r="Q103" s="68">
        <v>397</v>
      </c>
      <c r="R103" s="13">
        <f t="shared" si="14"/>
        <v>498.3</v>
      </c>
      <c r="S103" s="7">
        <f t="shared" si="10"/>
        <v>-1.6999999999999886</v>
      </c>
    </row>
    <row r="104" spans="1:19" ht="15">
      <c r="A104" s="4" t="s">
        <v>164</v>
      </c>
      <c r="B104" s="109">
        <v>900</v>
      </c>
      <c r="C104" s="68">
        <v>410.86</v>
      </c>
      <c r="D104" s="126"/>
      <c r="E104" s="109">
        <v>900</v>
      </c>
      <c r="F104" s="144">
        <f t="shared" si="11"/>
        <v>0</v>
      </c>
      <c r="G104" s="128">
        <f t="shared" si="15"/>
        <v>73.26</v>
      </c>
      <c r="H104" s="129">
        <f t="shared" si="16"/>
        <v>109.08</v>
      </c>
      <c r="I104" s="91"/>
      <c r="J104" s="130"/>
      <c r="K104" s="130"/>
      <c r="L104" s="130"/>
      <c r="M104" s="130"/>
      <c r="N104" s="130"/>
      <c r="O104" s="130"/>
      <c r="P104" s="130"/>
      <c r="Q104" s="68">
        <v>714</v>
      </c>
      <c r="R104" s="13">
        <f t="shared" si="14"/>
        <v>896.34</v>
      </c>
      <c r="S104" s="7">
        <f t="shared" si="10"/>
        <v>-3.659999999999968</v>
      </c>
    </row>
    <row r="105" spans="1:19" ht="15">
      <c r="A105" s="46" t="s">
        <v>46</v>
      </c>
      <c r="B105" s="91"/>
      <c r="C105" s="90"/>
      <c r="D105" s="124"/>
      <c r="E105" s="91"/>
      <c r="F105" s="125">
        <f t="shared" si="11"/>
        <v>0</v>
      </c>
      <c r="G105" s="128">
        <f t="shared" si="15"/>
        <v>0</v>
      </c>
      <c r="H105" s="129">
        <f t="shared" si="16"/>
        <v>0</v>
      </c>
      <c r="I105" s="91"/>
      <c r="J105" s="91"/>
      <c r="K105" s="91"/>
      <c r="L105" s="91"/>
      <c r="M105" s="91"/>
      <c r="N105" s="91"/>
      <c r="O105" s="91"/>
      <c r="P105" s="91"/>
      <c r="Q105" s="91"/>
      <c r="R105" s="13">
        <f t="shared" si="14"/>
        <v>0</v>
      </c>
      <c r="S105" s="7">
        <f t="shared" si="10"/>
        <v>0</v>
      </c>
    </row>
    <row r="106" spans="1:19" ht="15">
      <c r="A106" s="4" t="s">
        <v>141</v>
      </c>
      <c r="B106" s="109">
        <v>1000</v>
      </c>
      <c r="C106" s="63">
        <v>550</v>
      </c>
      <c r="D106" s="126"/>
      <c r="E106" s="109">
        <v>1000</v>
      </c>
      <c r="F106" s="144">
        <f t="shared" si="11"/>
        <v>0</v>
      </c>
      <c r="G106" s="128">
        <f t="shared" si="15"/>
        <v>81.4</v>
      </c>
      <c r="H106" s="129">
        <f t="shared" si="16"/>
        <v>121.2</v>
      </c>
      <c r="I106" s="91"/>
      <c r="J106" s="130"/>
      <c r="K106" s="130"/>
      <c r="L106" s="130"/>
      <c r="M106" s="130"/>
      <c r="N106" s="130"/>
      <c r="O106" s="130"/>
      <c r="P106" s="130"/>
      <c r="Q106" s="68">
        <v>794</v>
      </c>
      <c r="R106" s="13">
        <f t="shared" si="14"/>
        <v>996.6</v>
      </c>
      <c r="S106" s="7">
        <f t="shared" si="10"/>
        <v>-3.3999999999999773</v>
      </c>
    </row>
    <row r="107" spans="1:19" ht="15">
      <c r="A107" s="4" t="s">
        <v>140</v>
      </c>
      <c r="B107" s="109">
        <v>1000</v>
      </c>
      <c r="C107" s="68">
        <v>252.45</v>
      </c>
      <c r="D107" s="126"/>
      <c r="E107" s="109">
        <v>1000</v>
      </c>
      <c r="F107" s="144">
        <f t="shared" si="11"/>
        <v>0</v>
      </c>
      <c r="G107" s="128">
        <f t="shared" si="15"/>
        <v>81.4</v>
      </c>
      <c r="H107" s="129">
        <f t="shared" si="16"/>
        <v>121.2</v>
      </c>
      <c r="I107" s="91"/>
      <c r="J107" s="130"/>
      <c r="K107" s="130"/>
      <c r="L107" s="109"/>
      <c r="M107" s="109"/>
      <c r="N107" s="109"/>
      <c r="O107" s="109"/>
      <c r="P107" s="68"/>
      <c r="Q107" s="68">
        <v>794</v>
      </c>
      <c r="R107" s="13">
        <f t="shared" si="14"/>
        <v>996.6</v>
      </c>
      <c r="S107" s="7">
        <f t="shared" si="10"/>
        <v>-3.3999999999999773</v>
      </c>
    </row>
    <row r="108" spans="1:19" ht="15">
      <c r="A108" s="46" t="s">
        <v>47</v>
      </c>
      <c r="B108" s="91"/>
      <c r="C108" s="90"/>
      <c r="D108" s="124"/>
      <c r="E108" s="91"/>
      <c r="F108" s="125">
        <f t="shared" si="11"/>
        <v>0</v>
      </c>
      <c r="G108" s="128">
        <f t="shared" si="15"/>
        <v>0</v>
      </c>
      <c r="H108" s="129">
        <f t="shared" si="16"/>
        <v>0</v>
      </c>
      <c r="I108" s="91"/>
      <c r="J108" s="91"/>
      <c r="K108" s="91"/>
      <c r="L108" s="91"/>
      <c r="M108" s="91"/>
      <c r="N108" s="91"/>
      <c r="O108" s="91"/>
      <c r="P108" s="91"/>
      <c r="Q108" s="91"/>
      <c r="R108" s="13">
        <f t="shared" si="14"/>
        <v>0</v>
      </c>
      <c r="S108" s="7">
        <f t="shared" si="10"/>
        <v>0</v>
      </c>
    </row>
    <row r="109" spans="1:19" ht="15">
      <c r="A109" s="4" t="s">
        <v>48</v>
      </c>
      <c r="B109" s="109">
        <v>9000</v>
      </c>
      <c r="C109" s="64">
        <v>9846.78</v>
      </c>
      <c r="D109" s="126"/>
      <c r="E109" s="109">
        <v>9000</v>
      </c>
      <c r="F109" s="144">
        <f t="shared" si="11"/>
        <v>0</v>
      </c>
      <c r="G109" s="128">
        <f t="shared" si="15"/>
        <v>732.6</v>
      </c>
      <c r="H109" s="129">
        <f t="shared" si="16"/>
        <v>1090.8</v>
      </c>
      <c r="I109" s="91"/>
      <c r="J109" s="109"/>
      <c r="K109" s="130"/>
      <c r="L109" s="109"/>
      <c r="M109" s="109"/>
      <c r="N109" s="109"/>
      <c r="O109" s="109"/>
      <c r="P109" s="109"/>
      <c r="Q109" s="68">
        <v>7144</v>
      </c>
      <c r="R109" s="13">
        <f t="shared" si="14"/>
        <v>8967.4</v>
      </c>
      <c r="S109" s="7">
        <f t="shared" si="10"/>
        <v>-32.600000000000364</v>
      </c>
    </row>
    <row r="110" spans="1:19" ht="15">
      <c r="A110" s="4" t="s">
        <v>49</v>
      </c>
      <c r="B110" s="109">
        <v>8000</v>
      </c>
      <c r="C110" s="64">
        <v>10816.32</v>
      </c>
      <c r="D110" s="126"/>
      <c r="E110" s="109">
        <v>8000</v>
      </c>
      <c r="F110" s="144">
        <f t="shared" si="11"/>
        <v>0</v>
      </c>
      <c r="G110" s="128">
        <f t="shared" si="15"/>
        <v>651.2</v>
      </c>
      <c r="H110" s="129">
        <f t="shared" si="16"/>
        <v>969.6</v>
      </c>
      <c r="I110" s="91"/>
      <c r="J110" s="109"/>
      <c r="K110" s="130"/>
      <c r="L110" s="109"/>
      <c r="M110" s="109"/>
      <c r="N110" s="109"/>
      <c r="O110" s="109"/>
      <c r="P110" s="130"/>
      <c r="Q110" s="68">
        <v>6350</v>
      </c>
      <c r="R110" s="13">
        <f t="shared" si="14"/>
        <v>7970.8</v>
      </c>
      <c r="S110" s="7">
        <f t="shared" si="10"/>
        <v>-29.199999999999818</v>
      </c>
    </row>
    <row r="111" spans="1:19" ht="15">
      <c r="A111" s="4" t="s">
        <v>50</v>
      </c>
      <c r="B111" s="109">
        <v>4000</v>
      </c>
      <c r="C111" s="64">
        <v>1732.2</v>
      </c>
      <c r="D111" s="126"/>
      <c r="E111" s="109">
        <v>4000</v>
      </c>
      <c r="F111" s="144">
        <f t="shared" si="11"/>
        <v>0</v>
      </c>
      <c r="G111" s="128">
        <f t="shared" si="15"/>
        <v>325.6</v>
      </c>
      <c r="H111" s="129">
        <f t="shared" si="16"/>
        <v>484.8</v>
      </c>
      <c r="I111" s="91"/>
      <c r="J111" s="109"/>
      <c r="K111" s="68"/>
      <c r="L111" s="109"/>
      <c r="M111" s="109"/>
      <c r="N111" s="109"/>
      <c r="O111" s="109"/>
      <c r="P111" s="109"/>
      <c r="Q111" s="68">
        <v>3175</v>
      </c>
      <c r="R111" s="13">
        <f t="shared" si="14"/>
        <v>3985.4</v>
      </c>
      <c r="S111" s="7">
        <f t="shared" si="10"/>
        <v>-14.599999999999909</v>
      </c>
    </row>
    <row r="112" spans="1:19" ht="15">
      <c r="A112" s="4" t="s">
        <v>51</v>
      </c>
      <c r="B112" s="109">
        <v>2500</v>
      </c>
      <c r="C112" s="64">
        <v>1030.25</v>
      </c>
      <c r="D112" s="126"/>
      <c r="E112" s="109">
        <v>2200</v>
      </c>
      <c r="F112" s="144">
        <f t="shared" si="11"/>
        <v>-300</v>
      </c>
      <c r="G112" s="128">
        <f t="shared" si="15"/>
        <v>179.08</v>
      </c>
      <c r="H112" s="129">
        <f t="shared" si="16"/>
        <v>266.64</v>
      </c>
      <c r="I112" s="91"/>
      <c r="J112" s="130"/>
      <c r="K112" s="130"/>
      <c r="L112" s="109"/>
      <c r="M112" s="109"/>
      <c r="N112" s="109"/>
      <c r="O112" s="109"/>
      <c r="P112" s="130"/>
      <c r="Q112" s="68">
        <v>1985</v>
      </c>
      <c r="R112" s="13">
        <f t="shared" si="14"/>
        <v>2430.7200000000003</v>
      </c>
      <c r="S112" s="7">
        <f t="shared" si="10"/>
        <v>230.72000000000025</v>
      </c>
    </row>
    <row r="113" spans="1:19" ht="15">
      <c r="A113" s="4" t="s">
        <v>184</v>
      </c>
      <c r="B113" s="109">
        <v>5700</v>
      </c>
      <c r="C113" s="64">
        <v>2330.33</v>
      </c>
      <c r="D113" s="126"/>
      <c r="E113" s="109">
        <v>5000</v>
      </c>
      <c r="F113" s="144">
        <f t="shared" si="11"/>
        <v>-700</v>
      </c>
      <c r="G113" s="128">
        <f t="shared" si="15"/>
        <v>407</v>
      </c>
      <c r="H113" s="129">
        <f t="shared" si="16"/>
        <v>606</v>
      </c>
      <c r="I113" s="91"/>
      <c r="J113" s="68"/>
      <c r="K113" s="130"/>
      <c r="L113" s="109"/>
      <c r="M113" s="109"/>
      <c r="N113" s="109"/>
      <c r="O113" s="109"/>
      <c r="P113" s="130"/>
      <c r="Q113" s="68">
        <v>4525</v>
      </c>
      <c r="R113" s="13">
        <f t="shared" si="14"/>
        <v>5538</v>
      </c>
      <c r="S113" s="7">
        <f t="shared" si="10"/>
        <v>538</v>
      </c>
    </row>
    <row r="114" spans="1:19" ht="15">
      <c r="A114" s="4" t="s">
        <v>52</v>
      </c>
      <c r="B114" s="109">
        <v>3000</v>
      </c>
      <c r="C114" s="64">
        <v>1504.35</v>
      </c>
      <c r="D114" s="126"/>
      <c r="E114" s="109">
        <v>3000</v>
      </c>
      <c r="F114" s="144">
        <f t="shared" si="11"/>
        <v>0</v>
      </c>
      <c r="G114" s="128">
        <f t="shared" si="15"/>
        <v>244.2</v>
      </c>
      <c r="H114" s="129">
        <f t="shared" si="16"/>
        <v>363.6</v>
      </c>
      <c r="I114" s="91"/>
      <c r="J114" s="130"/>
      <c r="K114" s="130"/>
      <c r="L114" s="130"/>
      <c r="M114" s="130"/>
      <c r="N114" s="130"/>
      <c r="O114" s="130"/>
      <c r="P114" s="130"/>
      <c r="Q114" s="68">
        <v>2381</v>
      </c>
      <c r="R114" s="13">
        <f t="shared" si="14"/>
        <v>2988.8</v>
      </c>
      <c r="S114" s="7">
        <f t="shared" si="10"/>
        <v>-11.199999999999818</v>
      </c>
    </row>
    <row r="115" spans="1:19" ht="15">
      <c r="A115" s="4" t="s">
        <v>53</v>
      </c>
      <c r="B115" s="109">
        <v>55000</v>
      </c>
      <c r="C115" s="64">
        <v>24322.48</v>
      </c>
      <c r="D115" s="126"/>
      <c r="E115" s="109">
        <v>48600</v>
      </c>
      <c r="F115" s="144">
        <f t="shared" si="11"/>
        <v>-6400</v>
      </c>
      <c r="G115" s="128">
        <f t="shared" si="15"/>
        <v>3956.04</v>
      </c>
      <c r="H115" s="129">
        <f t="shared" si="16"/>
        <v>5890.32</v>
      </c>
      <c r="I115" s="91"/>
      <c r="J115" s="109"/>
      <c r="K115" s="130"/>
      <c r="L115" s="109"/>
      <c r="M115" s="109"/>
      <c r="N115" s="109"/>
      <c r="O115" s="109"/>
      <c r="P115" s="130"/>
      <c r="Q115" s="68">
        <v>43659</v>
      </c>
      <c r="R115" s="13">
        <f t="shared" si="14"/>
        <v>53505.36</v>
      </c>
      <c r="S115" s="7">
        <f t="shared" si="10"/>
        <v>4905.360000000001</v>
      </c>
    </row>
    <row r="116" spans="1:19" ht="15">
      <c r="A116" s="4" t="s">
        <v>54</v>
      </c>
      <c r="B116" s="109">
        <v>15000</v>
      </c>
      <c r="C116" s="68">
        <v>3900.45</v>
      </c>
      <c r="D116" s="126"/>
      <c r="E116" s="109">
        <v>8000</v>
      </c>
      <c r="F116" s="144">
        <f t="shared" si="11"/>
        <v>-7000</v>
      </c>
      <c r="G116" s="128">
        <f t="shared" si="15"/>
        <v>651.2</v>
      </c>
      <c r="H116" s="129">
        <f t="shared" si="16"/>
        <v>969.6</v>
      </c>
      <c r="I116" s="91"/>
      <c r="J116" s="109"/>
      <c r="K116" s="130"/>
      <c r="L116" s="109"/>
      <c r="M116" s="109"/>
      <c r="N116" s="109"/>
      <c r="O116" s="109"/>
      <c r="P116" s="130"/>
      <c r="Q116" s="68">
        <v>11907</v>
      </c>
      <c r="R116" s="13">
        <f t="shared" si="14"/>
        <v>13527.8</v>
      </c>
      <c r="S116" s="7">
        <f t="shared" si="10"/>
        <v>5527.799999999999</v>
      </c>
    </row>
    <row r="117" spans="1:19" ht="15">
      <c r="A117" s="4" t="s">
        <v>185</v>
      </c>
      <c r="B117" s="109">
        <v>2500</v>
      </c>
      <c r="C117" s="68">
        <v>960</v>
      </c>
      <c r="D117" s="126"/>
      <c r="E117" s="109">
        <v>1920</v>
      </c>
      <c r="F117" s="144">
        <f t="shared" si="11"/>
        <v>-580</v>
      </c>
      <c r="G117" s="128">
        <f t="shared" si="15"/>
        <v>156.288</v>
      </c>
      <c r="H117" s="129">
        <f t="shared" si="16"/>
        <v>232.704</v>
      </c>
      <c r="I117" s="91"/>
      <c r="J117" s="109"/>
      <c r="K117" s="130"/>
      <c r="L117" s="109"/>
      <c r="M117" s="109"/>
      <c r="N117" s="109"/>
      <c r="O117" s="109"/>
      <c r="P117" s="130"/>
      <c r="Q117" s="68"/>
      <c r="R117" s="13"/>
      <c r="S117" s="7"/>
    </row>
    <row r="118" spans="1:19" ht="15">
      <c r="A118" s="46" t="s">
        <v>55</v>
      </c>
      <c r="B118" s="91"/>
      <c r="C118" s="90"/>
      <c r="D118" s="124"/>
      <c r="E118" s="91"/>
      <c r="F118" s="125"/>
      <c r="G118" s="128">
        <f t="shared" si="15"/>
        <v>0</v>
      </c>
      <c r="H118" s="129">
        <f t="shared" si="16"/>
        <v>0</v>
      </c>
      <c r="I118" s="91"/>
      <c r="J118" s="91"/>
      <c r="K118" s="91"/>
      <c r="L118" s="91"/>
      <c r="M118" s="91"/>
      <c r="N118" s="91"/>
      <c r="O118" s="91"/>
      <c r="P118" s="91"/>
      <c r="Q118" s="91"/>
      <c r="R118" s="13">
        <f t="shared" si="14"/>
        <v>0</v>
      </c>
      <c r="S118" s="7">
        <f t="shared" si="10"/>
        <v>0</v>
      </c>
    </row>
    <row r="119" spans="1:19" ht="15">
      <c r="A119" s="4" t="s">
        <v>142</v>
      </c>
      <c r="B119" s="109">
        <v>1000</v>
      </c>
      <c r="C119" s="63">
        <v>488.77</v>
      </c>
      <c r="D119" s="126"/>
      <c r="E119" s="109">
        <v>1000</v>
      </c>
      <c r="F119" s="144">
        <f t="shared" si="11"/>
        <v>0</v>
      </c>
      <c r="G119" s="128">
        <f t="shared" si="15"/>
        <v>81.4</v>
      </c>
      <c r="H119" s="129">
        <f t="shared" si="16"/>
        <v>121.2</v>
      </c>
      <c r="I119" s="91"/>
      <c r="J119" s="130"/>
      <c r="K119" s="130"/>
      <c r="L119" s="130"/>
      <c r="M119" s="130"/>
      <c r="N119" s="130"/>
      <c r="O119" s="130"/>
      <c r="P119" s="130"/>
      <c r="Q119" s="68">
        <v>794</v>
      </c>
      <c r="R119" s="13">
        <f t="shared" si="14"/>
        <v>996.6</v>
      </c>
      <c r="S119" s="7">
        <f t="shared" si="10"/>
        <v>-3.3999999999999773</v>
      </c>
    </row>
    <row r="120" spans="1:19" ht="15">
      <c r="A120" s="4" t="s">
        <v>143</v>
      </c>
      <c r="B120" s="109">
        <v>1500</v>
      </c>
      <c r="C120" s="63">
        <v>904.85</v>
      </c>
      <c r="D120" s="126"/>
      <c r="E120" s="109">
        <v>2000</v>
      </c>
      <c r="F120" s="144">
        <f t="shared" si="11"/>
        <v>500</v>
      </c>
      <c r="G120" s="128">
        <v>2000</v>
      </c>
      <c r="H120" s="129"/>
      <c r="I120" s="91"/>
      <c r="J120" s="130"/>
      <c r="K120" s="130"/>
      <c r="L120" s="130"/>
      <c r="M120" s="130"/>
      <c r="N120" s="130"/>
      <c r="O120" s="130"/>
      <c r="P120" s="130"/>
      <c r="Q120" s="68"/>
      <c r="R120" s="13">
        <f t="shared" si="14"/>
        <v>2000</v>
      </c>
      <c r="S120" s="7">
        <f t="shared" si="10"/>
        <v>0</v>
      </c>
    </row>
    <row r="121" spans="1:19" ht="15">
      <c r="A121" s="4" t="s">
        <v>144</v>
      </c>
      <c r="B121" s="109">
        <v>12480</v>
      </c>
      <c r="C121" s="64">
        <v>6052.5</v>
      </c>
      <c r="D121" s="126"/>
      <c r="E121" s="109">
        <v>16800</v>
      </c>
      <c r="F121" s="144">
        <f t="shared" si="11"/>
        <v>4320</v>
      </c>
      <c r="G121" s="128">
        <v>16800</v>
      </c>
      <c r="H121" s="129"/>
      <c r="I121" s="91"/>
      <c r="J121" s="130"/>
      <c r="K121" s="130"/>
      <c r="L121" s="130"/>
      <c r="M121" s="130"/>
      <c r="N121" s="130"/>
      <c r="O121" s="130"/>
      <c r="P121" s="130"/>
      <c r="Q121" s="68"/>
      <c r="R121" s="13">
        <f t="shared" si="14"/>
        <v>16800</v>
      </c>
      <c r="S121" s="7">
        <f t="shared" si="10"/>
        <v>0</v>
      </c>
    </row>
    <row r="122" spans="1:19" ht="15">
      <c r="A122" s="4" t="s">
        <v>145</v>
      </c>
      <c r="B122" s="109">
        <v>3000</v>
      </c>
      <c r="C122" s="64">
        <v>1026.7</v>
      </c>
      <c r="D122" s="126"/>
      <c r="E122" s="109">
        <v>0</v>
      </c>
      <c r="F122" s="144">
        <f t="shared" si="11"/>
        <v>-3000</v>
      </c>
      <c r="G122" s="128">
        <f t="shared" si="15"/>
        <v>0</v>
      </c>
      <c r="H122" s="129">
        <f t="shared" si="16"/>
        <v>0</v>
      </c>
      <c r="I122" s="91"/>
      <c r="J122" s="68"/>
      <c r="K122" s="68"/>
      <c r="L122" s="130"/>
      <c r="M122" s="130"/>
      <c r="N122" s="68"/>
      <c r="O122" s="130"/>
      <c r="P122" s="130"/>
      <c r="Q122" s="68">
        <v>2381</v>
      </c>
      <c r="R122" s="13">
        <f t="shared" si="14"/>
        <v>2381</v>
      </c>
      <c r="S122" s="7">
        <f t="shared" si="10"/>
        <v>2381</v>
      </c>
    </row>
    <row r="123" spans="1:19" ht="15">
      <c r="A123" s="4" t="s">
        <v>175</v>
      </c>
      <c r="B123" s="109">
        <v>2120</v>
      </c>
      <c r="C123" s="63">
        <v>528.7</v>
      </c>
      <c r="D123" s="126"/>
      <c r="E123" s="109">
        <v>4500</v>
      </c>
      <c r="F123" s="144">
        <f t="shared" si="11"/>
        <v>2380</v>
      </c>
      <c r="G123" s="128">
        <f t="shared" si="15"/>
        <v>366.3</v>
      </c>
      <c r="H123" s="129">
        <f t="shared" si="16"/>
        <v>545.4</v>
      </c>
      <c r="I123" s="91"/>
      <c r="J123" s="130"/>
      <c r="K123" s="130"/>
      <c r="L123" s="109"/>
      <c r="M123" s="109"/>
      <c r="N123" s="109"/>
      <c r="O123" s="130"/>
      <c r="P123" s="130"/>
      <c r="Q123" s="68">
        <v>1683</v>
      </c>
      <c r="R123" s="13">
        <f>SUM(G123:Q123)</f>
        <v>2594.7</v>
      </c>
      <c r="S123" s="7">
        <f>+R123-E123</f>
        <v>-1905.3000000000002</v>
      </c>
    </row>
    <row r="124" spans="1:19" ht="15">
      <c r="A124" s="4" t="s">
        <v>176</v>
      </c>
      <c r="B124" s="109">
        <v>4200</v>
      </c>
      <c r="C124" s="63">
        <v>649.94</v>
      </c>
      <c r="D124" s="126"/>
      <c r="E124" s="109">
        <v>3800</v>
      </c>
      <c r="F124" s="144">
        <f t="shared" si="11"/>
        <v>-400</v>
      </c>
      <c r="G124" s="128">
        <f t="shared" si="15"/>
        <v>309.32</v>
      </c>
      <c r="H124" s="129">
        <f t="shared" si="16"/>
        <v>460.56</v>
      </c>
      <c r="I124" s="91"/>
      <c r="J124" s="130"/>
      <c r="K124" s="130"/>
      <c r="L124" s="109"/>
      <c r="M124" s="109"/>
      <c r="N124" s="109"/>
      <c r="O124" s="130"/>
      <c r="P124" s="130"/>
      <c r="Q124" s="68">
        <v>3334</v>
      </c>
      <c r="R124" s="13">
        <f>SUM(G124:Q124)</f>
        <v>4103.88</v>
      </c>
      <c r="S124" s="7">
        <f>+R124-E124</f>
        <v>303.8800000000001</v>
      </c>
    </row>
    <row r="125" spans="1:19" ht="15">
      <c r="A125" s="4" t="s">
        <v>146</v>
      </c>
      <c r="B125" s="109">
        <v>3000</v>
      </c>
      <c r="C125" s="63">
        <v>0</v>
      </c>
      <c r="D125" s="126"/>
      <c r="E125" s="109">
        <v>0</v>
      </c>
      <c r="F125" s="144">
        <f t="shared" si="11"/>
        <v>-3000</v>
      </c>
      <c r="G125" s="128">
        <f t="shared" si="15"/>
        <v>0</v>
      </c>
      <c r="H125" s="129">
        <f t="shared" si="16"/>
        <v>0</v>
      </c>
      <c r="I125" s="91"/>
      <c r="J125" s="130"/>
      <c r="K125" s="130"/>
      <c r="L125" s="109"/>
      <c r="M125" s="109"/>
      <c r="N125" s="109"/>
      <c r="O125" s="130"/>
      <c r="P125" s="130"/>
      <c r="Q125" s="68">
        <v>2381</v>
      </c>
      <c r="R125" s="13">
        <f t="shared" si="14"/>
        <v>2381</v>
      </c>
      <c r="S125" s="7">
        <f t="shared" si="10"/>
        <v>2381</v>
      </c>
    </row>
    <row r="126" spans="1:19" ht="15">
      <c r="A126" s="4" t="s">
        <v>147</v>
      </c>
      <c r="B126" s="109">
        <v>11330</v>
      </c>
      <c r="C126" s="68">
        <v>5311.66</v>
      </c>
      <c r="D126" s="126"/>
      <c r="E126" s="109">
        <v>11250</v>
      </c>
      <c r="F126" s="144">
        <f t="shared" si="11"/>
        <v>-80</v>
      </c>
      <c r="G126" s="128">
        <f t="shared" si="15"/>
        <v>915.75</v>
      </c>
      <c r="H126" s="129">
        <f t="shared" si="16"/>
        <v>1363.5</v>
      </c>
      <c r="I126" s="91"/>
      <c r="J126" s="130"/>
      <c r="K126" s="130"/>
      <c r="L126" s="109"/>
      <c r="M126" s="109"/>
      <c r="N126" s="109"/>
      <c r="O126" s="130"/>
      <c r="P126" s="130"/>
      <c r="Q126" s="68">
        <v>8994</v>
      </c>
      <c r="R126" s="13">
        <f t="shared" si="14"/>
        <v>11273.25</v>
      </c>
      <c r="S126" s="7">
        <f t="shared" si="10"/>
        <v>23.25</v>
      </c>
    </row>
    <row r="127" spans="1:19" ht="15">
      <c r="A127" s="4" t="s">
        <v>148</v>
      </c>
      <c r="B127" s="109">
        <v>0</v>
      </c>
      <c r="C127" s="63">
        <v>-306.5</v>
      </c>
      <c r="D127" s="126"/>
      <c r="E127" s="109"/>
      <c r="F127" s="144">
        <f t="shared" si="11"/>
        <v>0</v>
      </c>
      <c r="G127" s="128">
        <f t="shared" si="15"/>
        <v>0</v>
      </c>
      <c r="H127" s="129">
        <f t="shared" si="16"/>
        <v>0</v>
      </c>
      <c r="I127" s="91"/>
      <c r="J127" s="130"/>
      <c r="K127" s="130"/>
      <c r="L127" s="130"/>
      <c r="M127" s="130"/>
      <c r="N127" s="130"/>
      <c r="O127" s="130"/>
      <c r="P127" s="130"/>
      <c r="Q127" s="68"/>
      <c r="R127" s="13">
        <f t="shared" si="14"/>
        <v>0</v>
      </c>
      <c r="S127" s="7">
        <f t="shared" si="10"/>
        <v>0</v>
      </c>
    </row>
    <row r="128" spans="1:19" ht="15">
      <c r="A128" s="46" t="s">
        <v>56</v>
      </c>
      <c r="B128" s="91"/>
      <c r="C128" s="90"/>
      <c r="D128" s="124"/>
      <c r="E128" s="91"/>
      <c r="F128" s="125">
        <f t="shared" si="11"/>
        <v>0</v>
      </c>
      <c r="G128" s="128">
        <f t="shared" si="15"/>
        <v>0</v>
      </c>
      <c r="H128" s="129">
        <f t="shared" si="16"/>
        <v>0</v>
      </c>
      <c r="I128" s="91"/>
      <c r="J128" s="91"/>
      <c r="K128" s="91"/>
      <c r="L128" s="91"/>
      <c r="M128" s="91"/>
      <c r="N128" s="91"/>
      <c r="O128" s="91"/>
      <c r="P128" s="91"/>
      <c r="Q128" s="91"/>
      <c r="R128" s="13">
        <f t="shared" si="14"/>
        <v>0</v>
      </c>
      <c r="S128" s="7">
        <f t="shared" si="10"/>
        <v>0</v>
      </c>
    </row>
    <row r="129" spans="1:19" ht="15">
      <c r="A129" s="4" t="s">
        <v>149</v>
      </c>
      <c r="B129" s="109">
        <v>3000</v>
      </c>
      <c r="C129" s="63">
        <v>280</v>
      </c>
      <c r="D129" s="126"/>
      <c r="E129" s="109">
        <v>500</v>
      </c>
      <c r="F129" s="144">
        <f>+E129-B129</f>
        <v>-2500</v>
      </c>
      <c r="G129" s="128">
        <f t="shared" si="15"/>
        <v>40.7</v>
      </c>
      <c r="H129" s="129">
        <f t="shared" si="16"/>
        <v>60.6</v>
      </c>
      <c r="I129" s="91"/>
      <c r="J129" s="130"/>
      <c r="K129" s="130"/>
      <c r="L129" s="109"/>
      <c r="M129" s="109"/>
      <c r="N129" s="109"/>
      <c r="O129" s="109"/>
      <c r="P129" s="130"/>
      <c r="Q129" s="68">
        <v>2381</v>
      </c>
      <c r="R129" s="13">
        <f t="shared" si="14"/>
        <v>2482.3</v>
      </c>
      <c r="S129" s="7">
        <f t="shared" si="10"/>
        <v>1982.3000000000002</v>
      </c>
    </row>
    <row r="130" spans="1:19" ht="15.75" thickBot="1">
      <c r="A130" s="52" t="s">
        <v>57</v>
      </c>
      <c r="B130" s="112"/>
      <c r="C130" s="65">
        <v>441.6</v>
      </c>
      <c r="D130" s="126"/>
      <c r="E130" s="112"/>
      <c r="F130" s="162">
        <f>+E130-B130</f>
        <v>0</v>
      </c>
      <c r="G130" s="141">
        <f>+E130*0.0861</f>
        <v>0</v>
      </c>
      <c r="H130" s="186">
        <f>+E130*0.1201</f>
        <v>0</v>
      </c>
      <c r="I130" s="111"/>
      <c r="J130" s="148"/>
      <c r="K130" s="148"/>
      <c r="L130" s="148"/>
      <c r="M130" s="148"/>
      <c r="N130" s="148"/>
      <c r="O130" s="148"/>
      <c r="P130" s="148"/>
      <c r="Q130" s="163"/>
      <c r="R130" s="13">
        <f t="shared" si="14"/>
        <v>0</v>
      </c>
      <c r="S130" s="7"/>
    </row>
    <row r="131" spans="1:19" ht="15.75" thickBot="1">
      <c r="A131" s="48" t="s">
        <v>6</v>
      </c>
      <c r="B131" s="57">
        <f>SUM(B65:B130)</f>
        <v>749365</v>
      </c>
      <c r="C131" s="164">
        <f aca="true" t="shared" si="17" ref="C131:Q131">SUM(C65:C130)</f>
        <v>333167.85599999997</v>
      </c>
      <c r="D131" s="165">
        <f t="shared" si="17"/>
        <v>430960</v>
      </c>
      <c r="E131" s="57">
        <f t="shared" si="17"/>
        <v>823523.4481068001</v>
      </c>
      <c r="F131" s="166">
        <f t="shared" si="17"/>
        <v>74158.44810679996</v>
      </c>
      <c r="G131" s="86">
        <f t="shared" si="17"/>
        <v>191871.07830000005</v>
      </c>
      <c r="H131" s="79">
        <f t="shared" si="17"/>
        <v>181349.94372000007</v>
      </c>
      <c r="I131" s="40">
        <f t="shared" si="17"/>
        <v>0</v>
      </c>
      <c r="J131" s="57">
        <f t="shared" si="17"/>
        <v>0</v>
      </c>
      <c r="K131" s="57">
        <f t="shared" si="17"/>
        <v>0</v>
      </c>
      <c r="L131" s="57">
        <f t="shared" si="17"/>
        <v>0</v>
      </c>
      <c r="M131" s="57">
        <f t="shared" si="17"/>
        <v>0</v>
      </c>
      <c r="N131" s="57">
        <f t="shared" si="17"/>
        <v>0</v>
      </c>
      <c r="O131" s="57">
        <f t="shared" si="17"/>
        <v>0</v>
      </c>
      <c r="P131" s="57">
        <f t="shared" si="17"/>
        <v>0</v>
      </c>
      <c r="Q131" s="57">
        <f t="shared" si="17"/>
        <v>412430</v>
      </c>
      <c r="R131" s="15">
        <f>SUM(G131:Q131)-1</f>
        <v>785650.0220200001</v>
      </c>
      <c r="S131" s="7">
        <f>+R131-E131</f>
        <v>-37873.42608679994</v>
      </c>
    </row>
    <row r="132" spans="1:18" ht="18">
      <c r="A132" s="69"/>
      <c r="B132" s="104" t="s">
        <v>61</v>
      </c>
      <c r="C132" s="104" t="s">
        <v>105</v>
      </c>
      <c r="D132" s="117" t="s">
        <v>110</v>
      </c>
      <c r="E132" s="104" t="s">
        <v>61</v>
      </c>
      <c r="F132" s="118" t="s">
        <v>113</v>
      </c>
      <c r="G132" s="87" t="s">
        <v>63</v>
      </c>
      <c r="H132" s="80" t="s">
        <v>64</v>
      </c>
      <c r="I132" s="58" t="s">
        <v>66</v>
      </c>
      <c r="J132" s="59" t="s">
        <v>65</v>
      </c>
      <c r="K132" s="59" t="s">
        <v>67</v>
      </c>
      <c r="L132" s="59" t="s">
        <v>68</v>
      </c>
      <c r="M132" s="59" t="s">
        <v>69</v>
      </c>
      <c r="N132" s="59" t="s">
        <v>70</v>
      </c>
      <c r="O132" s="59" t="s">
        <v>71</v>
      </c>
      <c r="P132" s="59" t="s">
        <v>72</v>
      </c>
      <c r="Q132" s="59" t="s">
        <v>114</v>
      </c>
      <c r="R132" s="7"/>
    </row>
    <row r="133" spans="1:18" ht="18.75" thickBot="1">
      <c r="A133" s="72"/>
      <c r="B133" s="106" t="str">
        <f>+B4</f>
        <v>2019-2020</v>
      </c>
      <c r="C133" s="105" t="str">
        <f>+C4</f>
        <v>Jul-Dec</v>
      </c>
      <c r="D133" s="167" t="str">
        <f>+D4</f>
        <v>2019-2020</v>
      </c>
      <c r="E133" s="106" t="str">
        <f>+E4</f>
        <v>2020-2021</v>
      </c>
      <c r="F133" s="119" t="s">
        <v>112</v>
      </c>
      <c r="G133" s="84" t="s">
        <v>73</v>
      </c>
      <c r="H133" s="77" t="s">
        <v>74</v>
      </c>
      <c r="I133" s="39" t="s">
        <v>74</v>
      </c>
      <c r="J133" s="8" t="s">
        <v>74</v>
      </c>
      <c r="K133" s="8" t="s">
        <v>74</v>
      </c>
      <c r="L133" s="8" t="s">
        <v>75</v>
      </c>
      <c r="M133" s="8" t="s">
        <v>75</v>
      </c>
      <c r="N133" s="8" t="s">
        <v>75</v>
      </c>
      <c r="O133" s="8" t="s">
        <v>76</v>
      </c>
      <c r="P133" s="8" t="s">
        <v>74</v>
      </c>
      <c r="Q133" s="8" t="s">
        <v>75</v>
      </c>
      <c r="R133" s="9" t="s">
        <v>116</v>
      </c>
    </row>
    <row r="134" spans="1:19" ht="15">
      <c r="A134" s="73" t="s">
        <v>58</v>
      </c>
      <c r="B134" s="18">
        <f>B59</f>
        <v>749365</v>
      </c>
      <c r="C134" s="18">
        <f>C59</f>
        <v>385784.11000000004</v>
      </c>
      <c r="D134" s="168">
        <f>D59</f>
        <v>672963.3200000001</v>
      </c>
      <c r="E134" s="18">
        <f>E59</f>
        <v>823523</v>
      </c>
      <c r="F134" s="157">
        <f>+E134-B134</f>
        <v>74158</v>
      </c>
      <c r="G134" s="86">
        <f aca="true" t="shared" si="18" ref="G134:R134">G59</f>
        <v>190480</v>
      </c>
      <c r="H134" s="79">
        <f t="shared" si="18"/>
        <v>180081</v>
      </c>
      <c r="I134" s="40">
        <f t="shared" si="18"/>
        <v>0</v>
      </c>
      <c r="J134" s="18">
        <f t="shared" si="18"/>
        <v>0</v>
      </c>
      <c r="K134" s="18">
        <f t="shared" si="18"/>
        <v>0</v>
      </c>
      <c r="L134" s="18">
        <f t="shared" si="18"/>
        <v>0</v>
      </c>
      <c r="M134" s="18">
        <f t="shared" si="18"/>
        <v>0</v>
      </c>
      <c r="N134" s="18">
        <f t="shared" si="18"/>
        <v>0</v>
      </c>
      <c r="O134" s="18">
        <f t="shared" si="18"/>
        <v>0</v>
      </c>
      <c r="P134" s="18">
        <f t="shared" si="18"/>
        <v>0</v>
      </c>
      <c r="Q134" s="18">
        <f t="shared" si="18"/>
        <v>420150</v>
      </c>
      <c r="R134" s="18">
        <f t="shared" si="18"/>
        <v>790711</v>
      </c>
      <c r="S134" s="7">
        <f>+R134-E134</f>
        <v>-32812</v>
      </c>
    </row>
    <row r="135" spans="1:19" ht="15.75" thickBot="1">
      <c r="A135" s="73" t="s">
        <v>59</v>
      </c>
      <c r="B135" s="19">
        <f>B131</f>
        <v>749365</v>
      </c>
      <c r="C135" s="19">
        <f>C131</f>
        <v>333167.85599999997</v>
      </c>
      <c r="D135" s="169">
        <f>D131</f>
        <v>430960</v>
      </c>
      <c r="E135" s="19">
        <f>E131</f>
        <v>823523.4481068001</v>
      </c>
      <c r="F135" s="170">
        <f>+E135-B135</f>
        <v>74158.44810680009</v>
      </c>
      <c r="G135" s="88">
        <f aca="true" t="shared" si="19" ref="G135:R135">G131</f>
        <v>191871.07830000005</v>
      </c>
      <c r="H135" s="81">
        <f t="shared" si="19"/>
        <v>181349.94372000007</v>
      </c>
      <c r="I135" s="41">
        <f t="shared" si="19"/>
        <v>0</v>
      </c>
      <c r="J135" s="19">
        <f>J131</f>
        <v>0</v>
      </c>
      <c r="K135" s="19">
        <f t="shared" si="19"/>
        <v>0</v>
      </c>
      <c r="L135" s="19">
        <f t="shared" si="19"/>
        <v>0</v>
      </c>
      <c r="M135" s="19">
        <f t="shared" si="19"/>
        <v>0</v>
      </c>
      <c r="N135" s="19">
        <f t="shared" si="19"/>
        <v>0</v>
      </c>
      <c r="O135" s="19">
        <f t="shared" si="19"/>
        <v>0</v>
      </c>
      <c r="P135" s="19">
        <f t="shared" si="19"/>
        <v>0</v>
      </c>
      <c r="Q135" s="19">
        <f>Q131</f>
        <v>412430</v>
      </c>
      <c r="R135" s="19">
        <f t="shared" si="19"/>
        <v>785650.0220200001</v>
      </c>
      <c r="S135" s="7">
        <f>+R135-E135</f>
        <v>-37873.42608679994</v>
      </c>
    </row>
    <row r="136" spans="1:19" ht="15.75" thickBot="1">
      <c r="A136" s="74" t="s">
        <v>60</v>
      </c>
      <c r="B136" s="114">
        <f>+B134-B135</f>
        <v>0</v>
      </c>
      <c r="C136" s="114">
        <f>+C134-C135</f>
        <v>52616.25400000007</v>
      </c>
      <c r="D136" s="171">
        <f aca="true" t="shared" si="20" ref="D136:I136">+D134-D135</f>
        <v>242003.32000000007</v>
      </c>
      <c r="E136" s="114">
        <f t="shared" si="20"/>
        <v>-0.44810680008959025</v>
      </c>
      <c r="F136" s="172">
        <f t="shared" si="20"/>
        <v>-0.44810680008959025</v>
      </c>
      <c r="G136" s="89">
        <f t="shared" si="20"/>
        <v>-1391.078300000052</v>
      </c>
      <c r="H136" s="82">
        <f t="shared" si="20"/>
        <v>-1268.9437200000684</v>
      </c>
      <c r="I136" s="42">
        <f t="shared" si="20"/>
        <v>0</v>
      </c>
      <c r="J136" s="20">
        <f>+J134-J135</f>
        <v>0</v>
      </c>
      <c r="K136" s="20">
        <f aca="true" t="shared" si="21" ref="K136:P136">+K134-K135</f>
        <v>0</v>
      </c>
      <c r="L136" s="20">
        <f t="shared" si="21"/>
        <v>0</v>
      </c>
      <c r="M136" s="20">
        <f t="shared" si="21"/>
        <v>0</v>
      </c>
      <c r="N136" s="20">
        <f t="shared" si="21"/>
        <v>0</v>
      </c>
      <c r="O136" s="20">
        <f t="shared" si="21"/>
        <v>0</v>
      </c>
      <c r="P136" s="20">
        <f t="shared" si="21"/>
        <v>0</v>
      </c>
      <c r="Q136" s="20">
        <f>+Q134-Q135</f>
        <v>7720</v>
      </c>
      <c r="R136" s="20">
        <f>+R134-R135</f>
        <v>5060.9779799998505</v>
      </c>
      <c r="S136" s="7">
        <f>+R136-E136</f>
        <v>5061.42608679994</v>
      </c>
    </row>
    <row r="137" ht="14.25">
      <c r="B137" s="173"/>
    </row>
    <row r="138" spans="7:8" ht="14.25">
      <c r="G138">
        <v>90332</v>
      </c>
      <c r="H138">
        <v>73022</v>
      </c>
    </row>
    <row r="140" spans="7:8" ht="14.25">
      <c r="G140">
        <v>160398</v>
      </c>
      <c r="H140">
        <v>165943</v>
      </c>
    </row>
    <row r="141" ht="14.25">
      <c r="B141" s="174"/>
    </row>
    <row r="142" ht="14.25">
      <c r="B142" s="174"/>
    </row>
    <row r="143" ht="14.25">
      <c r="B143" s="174"/>
    </row>
    <row r="144" ht="14.25">
      <c r="B144" s="174"/>
    </row>
    <row r="170" spans="1:19" s="7" customFormat="1" ht="14.25">
      <c r="A170"/>
      <c r="B170" s="174"/>
      <c r="D170" s="3"/>
      <c r="E170" s="103"/>
      <c r="F170" s="103"/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1:19" s="7" customFormat="1" ht="14.25">
      <c r="A171"/>
      <c r="B171" s="174"/>
      <c r="D171" s="3"/>
      <c r="E171" s="103"/>
      <c r="F171" s="103"/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1:19" s="7" customFormat="1" ht="14.25">
      <c r="A172"/>
      <c r="B172" s="174"/>
      <c r="D172" s="3"/>
      <c r="E172" s="103"/>
      <c r="F172" s="103"/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1:19" s="7" customFormat="1" ht="14.25">
      <c r="A173"/>
      <c r="B173" s="174"/>
      <c r="D173" s="3"/>
      <c r="E173" s="103"/>
      <c r="F173" s="103"/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1:19" s="7" customFormat="1" ht="14.25">
      <c r="A174"/>
      <c r="B174" s="174"/>
      <c r="D174" s="3"/>
      <c r="E174" s="103"/>
      <c r="F174" s="103"/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1:19" s="7" customFormat="1" ht="14.25">
      <c r="A175"/>
      <c r="B175" s="174"/>
      <c r="D175" s="3"/>
      <c r="E175" s="103"/>
      <c r="F175" s="103"/>
      <c r="G175"/>
      <c r="H175"/>
      <c r="I175"/>
      <c r="J175"/>
      <c r="K175"/>
      <c r="L175"/>
      <c r="M175"/>
      <c r="N175"/>
      <c r="O175"/>
      <c r="P175"/>
      <c r="Q175"/>
      <c r="R175"/>
      <c r="S175"/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scale="70" r:id="rId1"/>
  <headerFooter alignWithMargins="0">
    <oddFooter>&amp;L&amp;Z&amp;F&amp;R&amp;"Arial,Bold"Page&amp;P</oddFooter>
  </headerFooter>
  <rowBreaks count="2" manualBreakCount="2">
    <brk id="60" max="7" man="1"/>
    <brk id="117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PageLayoutView="0" workbookViewId="0" topLeftCell="A1">
      <pane xSplit="1" ySplit="5" topLeftCell="B18" activePane="bottomRight" state="frozen"/>
      <selection pane="topLeft" activeCell="K112" sqref="K112"/>
      <selection pane="topRight" activeCell="K112" sqref="K112"/>
      <selection pane="bottomLeft" activeCell="K112" sqref="K112"/>
      <selection pane="bottomRight" activeCell="A50" sqref="A50"/>
    </sheetView>
  </sheetViews>
  <sheetFormatPr defaultColWidth="9.140625" defaultRowHeight="12.75"/>
  <cols>
    <col min="1" max="1" width="26.00390625" style="0" bestFit="1" customWidth="1"/>
    <col min="2" max="2" width="11.421875" style="21" customWidth="1"/>
    <col min="3" max="3" width="11.28125" style="21" customWidth="1"/>
    <col min="4" max="4" width="7.421875" style="0" customWidth="1"/>
    <col min="5" max="5" width="16.57421875" style="21" customWidth="1"/>
    <col min="6" max="6" width="15.140625" style="31" customWidth="1"/>
    <col min="7" max="7" width="10.7109375" style="0" customWidth="1"/>
    <col min="8" max="8" width="11.28125" style="0" customWidth="1"/>
    <col min="9" max="9" width="13.7109375" style="21" customWidth="1"/>
    <col min="10" max="10" width="13.7109375" style="0" customWidth="1"/>
    <col min="11" max="11" width="10.57421875" style="0" customWidth="1"/>
    <col min="12" max="12" width="15.140625" style="0" customWidth="1"/>
    <col min="13" max="13" width="16.57421875" style="0" bestFit="1" customWidth="1"/>
  </cols>
  <sheetData>
    <row r="1" ht="12.75">
      <c r="A1" s="22"/>
    </row>
    <row r="2" ht="18">
      <c r="A2" s="61" t="s">
        <v>186</v>
      </c>
    </row>
    <row r="3" spans="1:3" ht="18">
      <c r="A3" s="61"/>
      <c r="C3" s="37" t="s">
        <v>210</v>
      </c>
    </row>
    <row r="4" spans="1:11" ht="12.75">
      <c r="A4" t="s">
        <v>78</v>
      </c>
      <c r="B4" s="60" t="s">
        <v>179</v>
      </c>
      <c r="C4" s="60" t="s">
        <v>188</v>
      </c>
      <c r="D4" t="s">
        <v>92</v>
      </c>
      <c r="E4" s="23" t="s">
        <v>80</v>
      </c>
      <c r="F4" s="32" t="s">
        <v>93</v>
      </c>
      <c r="G4" s="24" t="s">
        <v>94</v>
      </c>
      <c r="H4" s="24" t="s">
        <v>95</v>
      </c>
      <c r="I4" s="92" t="s">
        <v>96</v>
      </c>
      <c r="J4" s="24" t="s">
        <v>97</v>
      </c>
      <c r="K4" s="24" t="s">
        <v>98</v>
      </c>
    </row>
    <row r="5" spans="1:11" ht="12.75">
      <c r="A5" s="22" t="s">
        <v>81</v>
      </c>
      <c r="B5" s="21" t="s">
        <v>79</v>
      </c>
      <c r="C5" s="21" t="s">
        <v>79</v>
      </c>
      <c r="F5" s="33"/>
      <c r="G5" s="24"/>
      <c r="H5" s="24"/>
      <c r="I5" s="92"/>
      <c r="J5" s="24"/>
      <c r="K5" s="24"/>
    </row>
    <row r="6" spans="1:12" ht="12.75">
      <c r="A6" t="s">
        <v>82</v>
      </c>
      <c r="B6" s="21">
        <v>25.88</v>
      </c>
      <c r="C6" s="21">
        <v>25.88</v>
      </c>
      <c r="D6">
        <v>40</v>
      </c>
      <c r="E6" s="21">
        <f>+D6*C6*52</f>
        <v>53830.4</v>
      </c>
      <c r="F6" s="30">
        <f aca="true" t="shared" si="0" ref="F6:F15">+E6*0.0765</f>
        <v>4118.0256</v>
      </c>
      <c r="G6" s="25">
        <f aca="true" t="shared" si="1" ref="G6:G11">9000*0.015</f>
        <v>135</v>
      </c>
      <c r="H6" s="25">
        <f>E6*0.013</f>
        <v>699.7952</v>
      </c>
      <c r="I6" s="25">
        <v>381.48</v>
      </c>
      <c r="J6" s="25">
        <f>E6*3%</f>
        <v>1614.912</v>
      </c>
      <c r="K6" s="25">
        <f>E6*3%</f>
        <v>1614.912</v>
      </c>
      <c r="L6" s="21">
        <f aca="true" t="shared" si="2" ref="L6:L19">SUM(F6:K6)</f>
        <v>8564.1248</v>
      </c>
    </row>
    <row r="7" spans="1:12" ht="12.75">
      <c r="A7" t="s">
        <v>83</v>
      </c>
      <c r="B7" s="21">
        <v>22.35</v>
      </c>
      <c r="C7" s="21">
        <v>22.35</v>
      </c>
      <c r="D7">
        <v>40</v>
      </c>
      <c r="E7" s="21">
        <f>+D7*C7*52</f>
        <v>46488</v>
      </c>
      <c r="F7" s="30">
        <f t="shared" si="0"/>
        <v>3556.332</v>
      </c>
      <c r="G7" s="25">
        <f t="shared" si="1"/>
        <v>135</v>
      </c>
      <c r="H7" s="25">
        <f aca="true" t="shared" si="3" ref="H7:H15">E7*0.013</f>
        <v>604.3439999999999</v>
      </c>
      <c r="I7" s="25">
        <v>381.48</v>
      </c>
      <c r="J7" s="25">
        <f>E7*3%</f>
        <v>1394.6399999999999</v>
      </c>
      <c r="K7" s="25">
        <f>E7*3%</f>
        <v>1394.6399999999999</v>
      </c>
      <c r="L7" s="21">
        <f t="shared" si="2"/>
        <v>7466.435999999998</v>
      </c>
    </row>
    <row r="8" spans="1:12" ht="12.75">
      <c r="A8" t="s">
        <v>159</v>
      </c>
      <c r="B8" s="21">
        <v>12.73</v>
      </c>
      <c r="C8" s="21">
        <f aca="true" t="shared" si="4" ref="C8:C16">+B8+2</f>
        <v>14.73</v>
      </c>
      <c r="D8">
        <v>40</v>
      </c>
      <c r="E8" s="21">
        <f>+D8*C8*52</f>
        <v>30638.4</v>
      </c>
      <c r="F8" s="30">
        <f>+E8*0.0765</f>
        <v>2343.8376000000003</v>
      </c>
      <c r="G8" s="25">
        <f t="shared" si="1"/>
        <v>135</v>
      </c>
      <c r="H8" s="25">
        <f>E8*0.013</f>
        <v>398.2992</v>
      </c>
      <c r="I8" s="25">
        <v>381.48</v>
      </c>
      <c r="J8" s="25">
        <f>E8*3%</f>
        <v>919.152</v>
      </c>
      <c r="K8" s="25">
        <f>E8*3%</f>
        <v>919.152</v>
      </c>
      <c r="L8" s="21">
        <f t="shared" si="2"/>
        <v>5096.9208</v>
      </c>
    </row>
    <row r="9" spans="1:12" ht="12.75">
      <c r="A9" t="s">
        <v>173</v>
      </c>
      <c r="B9" s="21">
        <v>12.36</v>
      </c>
      <c r="C9" s="21">
        <f t="shared" si="4"/>
        <v>14.36</v>
      </c>
      <c r="D9">
        <v>35</v>
      </c>
      <c r="E9" s="21">
        <f>+D9*C9*43</f>
        <v>21611.8</v>
      </c>
      <c r="F9" s="30">
        <f>+E9*0.0765</f>
        <v>1653.3027</v>
      </c>
      <c r="G9" s="25">
        <f t="shared" si="1"/>
        <v>135</v>
      </c>
      <c r="H9" s="25">
        <f>E9*0.013</f>
        <v>280.9534</v>
      </c>
      <c r="I9" s="25">
        <v>381.48</v>
      </c>
      <c r="J9" s="25">
        <f>E9*3%</f>
        <v>648.3539999999999</v>
      </c>
      <c r="K9" s="25">
        <f>E9*3%</f>
        <v>648.3539999999999</v>
      </c>
      <c r="L9" s="21">
        <f t="shared" si="2"/>
        <v>3747.4440999999997</v>
      </c>
    </row>
    <row r="10" spans="1:12" ht="12.75">
      <c r="A10" t="s">
        <v>181</v>
      </c>
      <c r="B10" s="21">
        <v>9</v>
      </c>
      <c r="C10" s="21">
        <f t="shared" si="4"/>
        <v>11</v>
      </c>
      <c r="D10">
        <v>40</v>
      </c>
      <c r="E10" s="21">
        <f aca="true" t="shared" si="5" ref="E10:E15">+D10*C10*43</f>
        <v>18920</v>
      </c>
      <c r="F10" s="30">
        <f>+E10*0.0765</f>
        <v>1447.3799999999999</v>
      </c>
      <c r="G10" s="25">
        <f t="shared" si="1"/>
        <v>135</v>
      </c>
      <c r="H10" s="25">
        <f>E10*0.013</f>
        <v>245.95999999999998</v>
      </c>
      <c r="I10" s="25">
        <v>381.48</v>
      </c>
      <c r="J10" s="25">
        <f>E10*3%</f>
        <v>567.6</v>
      </c>
      <c r="K10" s="25">
        <f>E10*3%</f>
        <v>567.6</v>
      </c>
      <c r="L10" s="21">
        <f t="shared" si="2"/>
        <v>3345.0199999999995</v>
      </c>
    </row>
    <row r="11" spans="1:12" ht="12.75">
      <c r="A11" t="s">
        <v>154</v>
      </c>
      <c r="B11" s="21">
        <v>11.65</v>
      </c>
      <c r="C11" s="21">
        <f t="shared" si="4"/>
        <v>13.65</v>
      </c>
      <c r="D11">
        <v>29</v>
      </c>
      <c r="E11" s="21">
        <f t="shared" si="5"/>
        <v>17021.55</v>
      </c>
      <c r="F11" s="30">
        <f t="shared" si="0"/>
        <v>1302.148575</v>
      </c>
      <c r="G11" s="25">
        <f t="shared" si="1"/>
        <v>135</v>
      </c>
      <c r="H11" s="25">
        <f t="shared" si="3"/>
        <v>221.28015</v>
      </c>
      <c r="I11" s="27"/>
      <c r="J11" s="27"/>
      <c r="K11" s="27"/>
      <c r="L11" s="21">
        <f t="shared" si="2"/>
        <v>1658.428725</v>
      </c>
    </row>
    <row r="12" spans="1:12" ht="12.75">
      <c r="A12" t="s">
        <v>198</v>
      </c>
      <c r="B12" s="21">
        <v>9</v>
      </c>
      <c r="C12" s="21">
        <f t="shared" si="4"/>
        <v>11</v>
      </c>
      <c r="D12">
        <v>29</v>
      </c>
      <c r="E12" s="21">
        <f t="shared" si="5"/>
        <v>13717</v>
      </c>
      <c r="F12" s="30">
        <f t="shared" si="0"/>
        <v>1049.3505</v>
      </c>
      <c r="G12" s="25">
        <v>135</v>
      </c>
      <c r="H12" s="25">
        <f t="shared" si="3"/>
        <v>178.321</v>
      </c>
      <c r="I12" s="27"/>
      <c r="J12" s="27"/>
      <c r="K12" s="27"/>
      <c r="L12" s="21">
        <f t="shared" si="2"/>
        <v>1362.6715</v>
      </c>
    </row>
    <row r="13" spans="1:12" ht="12.75">
      <c r="A13" t="s">
        <v>189</v>
      </c>
      <c r="B13" s="21">
        <v>9</v>
      </c>
      <c r="C13" s="21">
        <f t="shared" si="4"/>
        <v>11</v>
      </c>
      <c r="D13">
        <v>29</v>
      </c>
      <c r="E13" s="21">
        <f t="shared" si="5"/>
        <v>13717</v>
      </c>
      <c r="F13" s="30">
        <f t="shared" si="0"/>
        <v>1049.3505</v>
      </c>
      <c r="G13" s="25">
        <v>135</v>
      </c>
      <c r="H13" s="25">
        <f t="shared" si="3"/>
        <v>178.321</v>
      </c>
      <c r="I13" s="27"/>
      <c r="J13" s="27"/>
      <c r="K13" s="27"/>
      <c r="L13" s="21">
        <f t="shared" si="2"/>
        <v>1362.6715</v>
      </c>
    </row>
    <row r="14" spans="1:12" ht="12.75">
      <c r="A14" t="s">
        <v>177</v>
      </c>
      <c r="B14" s="21">
        <v>8.57</v>
      </c>
      <c r="C14" s="21">
        <f t="shared" si="4"/>
        <v>10.57</v>
      </c>
      <c r="D14">
        <v>39</v>
      </c>
      <c r="E14" s="21">
        <f t="shared" si="5"/>
        <v>17725.89</v>
      </c>
      <c r="F14" s="30">
        <f t="shared" si="0"/>
        <v>1356.030585</v>
      </c>
      <c r="G14" s="25">
        <f>9000*0.015</f>
        <v>135</v>
      </c>
      <c r="H14" s="25">
        <f t="shared" si="3"/>
        <v>230.43657</v>
      </c>
      <c r="I14" s="27"/>
      <c r="J14" s="27"/>
      <c r="K14" s="27"/>
      <c r="L14" s="21">
        <f t="shared" si="2"/>
        <v>1721.467155</v>
      </c>
    </row>
    <row r="15" spans="1:12" ht="12.75">
      <c r="A15" s="103" t="s">
        <v>190</v>
      </c>
      <c r="B15" s="21">
        <v>7.96</v>
      </c>
      <c r="C15" s="21">
        <f t="shared" si="4"/>
        <v>9.96</v>
      </c>
      <c r="D15">
        <v>18.5</v>
      </c>
      <c r="E15" s="21">
        <f t="shared" si="5"/>
        <v>7923.180000000001</v>
      </c>
      <c r="F15" s="176">
        <f t="shared" si="0"/>
        <v>606.12327</v>
      </c>
      <c r="G15" s="177">
        <f>9000*0.015</f>
        <v>135</v>
      </c>
      <c r="H15" s="177">
        <f t="shared" si="3"/>
        <v>103.00134000000001</v>
      </c>
      <c r="I15" s="102"/>
      <c r="J15" s="102"/>
      <c r="K15" s="102"/>
      <c r="L15" s="21">
        <f>SUM(F15:K15)</f>
        <v>844.1246100000001</v>
      </c>
    </row>
    <row r="16" spans="1:12" ht="12.75">
      <c r="A16" s="103" t="s">
        <v>182</v>
      </c>
      <c r="B16" s="21">
        <v>8.34</v>
      </c>
      <c r="C16" s="21">
        <f t="shared" si="4"/>
        <v>10.34</v>
      </c>
      <c r="E16" s="21">
        <f>+D16*C16*52</f>
        <v>0</v>
      </c>
      <c r="F16" s="178">
        <f>+E16*0.0765</f>
        <v>0</v>
      </c>
      <c r="G16" s="179"/>
      <c r="H16" s="179">
        <f>E16*0.013</f>
        <v>0</v>
      </c>
      <c r="I16" s="180"/>
      <c r="J16" s="180"/>
      <c r="K16" s="180"/>
      <c r="L16" s="21"/>
    </row>
    <row r="17" spans="1:12" ht="12.75">
      <c r="A17" t="s">
        <v>84</v>
      </c>
      <c r="D17">
        <f aca="true" t="shared" si="6" ref="D17:K17">SUM(D6:D16)</f>
        <v>339.5</v>
      </c>
      <c r="E17" s="34">
        <f t="shared" si="6"/>
        <v>241593.21999999997</v>
      </c>
      <c r="F17" s="101">
        <f t="shared" si="6"/>
        <v>18481.88133</v>
      </c>
      <c r="G17" s="101">
        <f t="shared" si="6"/>
        <v>1350</v>
      </c>
      <c r="H17" s="101">
        <f t="shared" si="6"/>
        <v>3140.7118599999994</v>
      </c>
      <c r="I17" s="101">
        <f t="shared" si="6"/>
        <v>1907.4</v>
      </c>
      <c r="J17" s="101">
        <f t="shared" si="6"/>
        <v>5144.658</v>
      </c>
      <c r="K17" s="101">
        <f t="shared" si="6"/>
        <v>5144.658</v>
      </c>
      <c r="L17" s="21">
        <f>SUM(L6:L15)</f>
        <v>35169.30919</v>
      </c>
    </row>
    <row r="18" spans="6:12" ht="12.75">
      <c r="F18" s="100"/>
      <c r="G18" s="175"/>
      <c r="H18" s="175"/>
      <c r="I18" s="175"/>
      <c r="J18" s="181"/>
      <c r="K18" s="181"/>
      <c r="L18" s="21">
        <f t="shared" si="2"/>
        <v>0</v>
      </c>
    </row>
    <row r="19" spans="6:12" ht="12.75">
      <c r="F19" s="100"/>
      <c r="G19" s="175"/>
      <c r="H19" s="175"/>
      <c r="I19" s="175"/>
      <c r="J19" s="175"/>
      <c r="K19" s="175"/>
      <c r="L19" s="21">
        <f t="shared" si="2"/>
        <v>0</v>
      </c>
    </row>
    <row r="20" spans="1:12" ht="12.75">
      <c r="A20" s="22" t="s">
        <v>85</v>
      </c>
      <c r="F20" s="182"/>
      <c r="G20" s="175"/>
      <c r="H20" s="175"/>
      <c r="I20" s="175"/>
      <c r="J20" s="181"/>
      <c r="K20" s="181"/>
      <c r="L20" s="21"/>
    </row>
    <row r="21" spans="1:12" ht="12.75">
      <c r="A21" t="s">
        <v>86</v>
      </c>
      <c r="B21" s="21">
        <v>14.64</v>
      </c>
      <c r="C21" s="21">
        <f>+B21+2</f>
        <v>16.64</v>
      </c>
      <c r="D21">
        <v>37</v>
      </c>
      <c r="E21" s="21">
        <f>+D21*C21*43</f>
        <v>26474.24</v>
      </c>
      <c r="F21" s="183">
        <f>+E21*0.0765</f>
        <v>2025.27936</v>
      </c>
      <c r="G21" s="184">
        <f>9000*0.015</f>
        <v>135</v>
      </c>
      <c r="H21" s="184">
        <f>E21*0.013</f>
        <v>344.16512</v>
      </c>
      <c r="I21" s="184">
        <v>381.48</v>
      </c>
      <c r="J21" s="184">
        <f>E21*3%</f>
        <v>794.2272</v>
      </c>
      <c r="K21" s="184">
        <f>E21*3%</f>
        <v>794.2272</v>
      </c>
      <c r="L21" s="21">
        <f aca="true" t="shared" si="7" ref="L21:L45">SUM(F21:K21)</f>
        <v>4474.37888</v>
      </c>
    </row>
    <row r="22" spans="1:12" ht="12.75">
      <c r="A22" t="s">
        <v>191</v>
      </c>
      <c r="B22" s="21">
        <v>10</v>
      </c>
      <c r="C22" s="21">
        <f>+B22+2</f>
        <v>12</v>
      </c>
      <c r="D22">
        <v>29</v>
      </c>
      <c r="E22" s="21">
        <f>+D22*C22*43</f>
        <v>14964</v>
      </c>
      <c r="F22" s="30">
        <f>+E22*0.0765</f>
        <v>1144.7459999999999</v>
      </c>
      <c r="G22" s="25">
        <f>9000*0.015</f>
        <v>135</v>
      </c>
      <c r="H22" s="25">
        <f>E22*0.013</f>
        <v>194.53199999999998</v>
      </c>
      <c r="I22" s="27"/>
      <c r="J22" s="27"/>
      <c r="K22" s="27"/>
      <c r="L22" s="21">
        <f t="shared" si="7"/>
        <v>1474.2779999999998</v>
      </c>
    </row>
    <row r="23" spans="1:12" ht="12.75">
      <c r="A23" t="s">
        <v>192</v>
      </c>
      <c r="B23" s="21">
        <v>8</v>
      </c>
      <c r="C23" s="21">
        <f>+B23+2</f>
        <v>10</v>
      </c>
      <c r="D23">
        <v>25</v>
      </c>
      <c r="E23" s="21">
        <f>+D23*C23*43</f>
        <v>10750</v>
      </c>
      <c r="F23" s="30">
        <f>+E23*0.0765</f>
        <v>822.375</v>
      </c>
      <c r="G23" s="25">
        <v>135</v>
      </c>
      <c r="H23" s="25">
        <f>E23*0.013</f>
        <v>139.75</v>
      </c>
      <c r="I23" s="27"/>
      <c r="J23" s="28"/>
      <c r="K23" s="28"/>
      <c r="L23" s="21">
        <f>SUM(F23:K23)</f>
        <v>1097.125</v>
      </c>
    </row>
    <row r="24" spans="1:12" ht="12.75">
      <c r="A24" t="s">
        <v>193</v>
      </c>
      <c r="B24" s="21">
        <v>8</v>
      </c>
      <c r="C24" s="21">
        <f>+B24+2</f>
        <v>10</v>
      </c>
      <c r="D24">
        <v>25</v>
      </c>
      <c r="E24" s="21">
        <f>+D24*C24*43</f>
        <v>10750</v>
      </c>
      <c r="F24" s="30">
        <f>+E24*0.0765</f>
        <v>822.375</v>
      </c>
      <c r="G24" s="25">
        <f>9000*0.015</f>
        <v>135</v>
      </c>
      <c r="H24" s="25">
        <f>E24*0.013</f>
        <v>139.75</v>
      </c>
      <c r="I24" s="27"/>
      <c r="J24" s="27"/>
      <c r="K24" s="27"/>
      <c r="L24" s="21">
        <f t="shared" si="7"/>
        <v>1097.125</v>
      </c>
    </row>
    <row r="25" spans="1:12" ht="12.75">
      <c r="A25" s="103"/>
      <c r="F25" s="30"/>
      <c r="G25" s="25"/>
      <c r="H25" s="25"/>
      <c r="I25" s="27"/>
      <c r="J25" s="28"/>
      <c r="K25" s="28"/>
      <c r="L25" s="21">
        <f t="shared" si="7"/>
        <v>0</v>
      </c>
    </row>
    <row r="26" spans="6:12" ht="12.75">
      <c r="F26" s="30"/>
      <c r="G26" s="25"/>
      <c r="H26" s="25"/>
      <c r="I26" s="27"/>
      <c r="J26" s="28"/>
      <c r="K26" s="28"/>
      <c r="L26" s="21"/>
    </row>
    <row r="27" spans="1:12" ht="12.75">
      <c r="A27" t="s">
        <v>87</v>
      </c>
      <c r="D27">
        <f aca="true" t="shared" si="8" ref="D27:K27">SUM(D21:D25)</f>
        <v>116</v>
      </c>
      <c r="E27" s="34">
        <f t="shared" si="8"/>
        <v>62938.240000000005</v>
      </c>
      <c r="F27" s="34">
        <f t="shared" si="8"/>
        <v>4814.77536</v>
      </c>
      <c r="G27" s="27">
        <f t="shared" si="8"/>
        <v>540</v>
      </c>
      <c r="H27" s="27">
        <f t="shared" si="8"/>
        <v>818.19712</v>
      </c>
      <c r="I27" s="27">
        <f t="shared" si="8"/>
        <v>381.48</v>
      </c>
      <c r="J27" s="27">
        <f t="shared" si="8"/>
        <v>794.2272</v>
      </c>
      <c r="K27" s="27">
        <f t="shared" si="8"/>
        <v>794.2272</v>
      </c>
      <c r="L27" s="21">
        <f>SUM(L21:L26)</f>
        <v>8142.9068800000005</v>
      </c>
    </row>
    <row r="28" spans="6:12" ht="12.75">
      <c r="F28" s="34"/>
      <c r="G28" s="27"/>
      <c r="H28" s="27"/>
      <c r="I28" s="27"/>
      <c r="J28" s="28"/>
      <c r="K28" s="28"/>
      <c r="L28" s="21">
        <f t="shared" si="7"/>
        <v>0</v>
      </c>
    </row>
    <row r="29" spans="1:12" ht="12.75">
      <c r="A29" s="22" t="s">
        <v>88</v>
      </c>
      <c r="F29" s="34"/>
      <c r="G29" s="27"/>
      <c r="H29" s="27"/>
      <c r="I29" s="27"/>
      <c r="J29" s="28"/>
      <c r="K29" s="28"/>
      <c r="L29" s="21">
        <f t="shared" si="7"/>
        <v>0</v>
      </c>
    </row>
    <row r="30" spans="1:12" ht="12.75">
      <c r="A30" t="s">
        <v>167</v>
      </c>
      <c r="B30" s="21">
        <v>13.39</v>
      </c>
      <c r="C30" s="21">
        <f>+B30+2</f>
        <v>15.39</v>
      </c>
      <c r="D30">
        <v>40</v>
      </c>
      <c r="E30" s="21">
        <f>+D30*C30*52</f>
        <v>32011.2</v>
      </c>
      <c r="F30" s="30">
        <f>+E30*0.0765</f>
        <v>2448.8568</v>
      </c>
      <c r="G30" s="25">
        <f>9000*0.015</f>
        <v>135</v>
      </c>
      <c r="H30" s="25">
        <f>E30*0.013</f>
        <v>416.1456</v>
      </c>
      <c r="I30" s="184">
        <v>381.48</v>
      </c>
      <c r="J30" s="184">
        <f>E30*3%</f>
        <v>960.336</v>
      </c>
      <c r="K30" s="184">
        <f>E30*3%</f>
        <v>960.336</v>
      </c>
      <c r="L30" s="21">
        <f t="shared" si="7"/>
        <v>5302.1544</v>
      </c>
    </row>
    <row r="31" spans="4:12" ht="12.75">
      <c r="D31">
        <f>SUM(D30:D30)</f>
        <v>40</v>
      </c>
      <c r="E31" s="21">
        <f>SUM(E30:E30)</f>
        <v>32011.2</v>
      </c>
      <c r="F31" s="30">
        <f>SUM(F30:F30)</f>
        <v>2448.8568</v>
      </c>
      <c r="G31" s="25">
        <f>SUM(G30:G30)</f>
        <v>135</v>
      </c>
      <c r="H31" s="25">
        <f>E31*0.034</f>
        <v>1088.3808000000001</v>
      </c>
      <c r="I31" s="27">
        <f>SUM(I30:I30)</f>
        <v>381.48</v>
      </c>
      <c r="J31" s="27">
        <f>SUM(J30:J30)</f>
        <v>960.336</v>
      </c>
      <c r="K31" s="27">
        <f>SUM(K30:K30)</f>
        <v>960.336</v>
      </c>
      <c r="L31" s="21">
        <f>SUM(L30:L30)</f>
        <v>5302.1544</v>
      </c>
    </row>
    <row r="32" spans="6:12" ht="12.75">
      <c r="F32" s="34"/>
      <c r="G32" s="27"/>
      <c r="H32" s="27"/>
      <c r="I32" s="27"/>
      <c r="J32" s="28"/>
      <c r="K32" s="28"/>
      <c r="L32" s="21">
        <f t="shared" si="7"/>
        <v>0</v>
      </c>
    </row>
    <row r="33" spans="1:12" ht="12.75">
      <c r="A33" s="22" t="s">
        <v>168</v>
      </c>
      <c r="F33" s="34"/>
      <c r="G33" s="27"/>
      <c r="H33" s="27"/>
      <c r="I33" s="27"/>
      <c r="J33" s="28"/>
      <c r="K33" s="28"/>
      <c r="L33" s="21">
        <f t="shared" si="7"/>
        <v>0</v>
      </c>
    </row>
    <row r="34" spans="1:12" ht="12.75">
      <c r="A34" s="103" t="s">
        <v>171</v>
      </c>
      <c r="B34" s="21">
        <v>8.61</v>
      </c>
      <c r="C34" s="21">
        <f>+B34+2</f>
        <v>10.61</v>
      </c>
      <c r="D34">
        <v>5</v>
      </c>
      <c r="E34" s="21">
        <f>+D34*C34*43</f>
        <v>2281.15</v>
      </c>
      <c r="F34" s="30">
        <f>+E34*0.0765</f>
        <v>174.50797500000002</v>
      </c>
      <c r="G34" s="25">
        <f>+E34*0.013</f>
        <v>29.65495</v>
      </c>
      <c r="H34" s="25">
        <f>E34*0.013</f>
        <v>29.65495</v>
      </c>
      <c r="I34" s="27"/>
      <c r="J34" s="28"/>
      <c r="K34" s="27"/>
      <c r="L34" s="21">
        <f t="shared" si="7"/>
        <v>233.81787500000002</v>
      </c>
    </row>
    <row r="35" spans="5:12" ht="12.75">
      <c r="E35" s="21">
        <f>+D35*C35*52</f>
        <v>0</v>
      </c>
      <c r="F35" s="30">
        <f>+E35*0.0765</f>
        <v>0</v>
      </c>
      <c r="G35" s="25">
        <f>+E35*0.033</f>
        <v>0</v>
      </c>
      <c r="H35" s="25"/>
      <c r="I35" s="27"/>
      <c r="J35" s="28"/>
      <c r="K35" s="27"/>
      <c r="L35" s="21">
        <f t="shared" si="7"/>
        <v>0</v>
      </c>
    </row>
    <row r="36" spans="1:12" ht="12.75">
      <c r="A36" t="s">
        <v>89</v>
      </c>
      <c r="D36">
        <f>SUM(D34:D35)</f>
        <v>5</v>
      </c>
      <c r="E36" s="34">
        <f>SUM(E34:E35)</f>
        <v>2281.15</v>
      </c>
      <c r="F36" s="34">
        <f aca="true" t="shared" si="9" ref="F36:K36">SUM(F34:F35)</f>
        <v>174.50797500000002</v>
      </c>
      <c r="G36" s="27">
        <f t="shared" si="9"/>
        <v>29.65495</v>
      </c>
      <c r="H36" s="27">
        <f t="shared" si="9"/>
        <v>29.65495</v>
      </c>
      <c r="I36" s="27">
        <f t="shared" si="9"/>
        <v>0</v>
      </c>
      <c r="J36" s="27">
        <f t="shared" si="9"/>
        <v>0</v>
      </c>
      <c r="K36" s="27">
        <f t="shared" si="9"/>
        <v>0</v>
      </c>
      <c r="L36" s="21">
        <f t="shared" si="7"/>
        <v>233.81787500000002</v>
      </c>
    </row>
    <row r="37" spans="6:12" ht="12.75">
      <c r="F37" s="34"/>
      <c r="G37" s="27"/>
      <c r="H37" s="27"/>
      <c r="I37" s="27"/>
      <c r="J37" s="28"/>
      <c r="K37" s="28"/>
      <c r="L37" s="21">
        <f t="shared" si="7"/>
        <v>0</v>
      </c>
    </row>
    <row r="38" spans="1:12" ht="12.75">
      <c r="A38" s="22" t="s">
        <v>90</v>
      </c>
      <c r="F38" s="34"/>
      <c r="G38" s="27"/>
      <c r="H38" s="27"/>
      <c r="I38" s="27"/>
      <c r="J38" s="28"/>
      <c r="K38" s="28"/>
      <c r="L38" s="21">
        <f t="shared" si="7"/>
        <v>0</v>
      </c>
    </row>
    <row r="39" spans="1:12" ht="12.75">
      <c r="A39" t="s">
        <v>178</v>
      </c>
      <c r="B39" s="21">
        <v>16.45</v>
      </c>
      <c r="C39" s="21">
        <f aca="true" t="shared" si="10" ref="C39:C45">+B39+2</f>
        <v>18.45</v>
      </c>
      <c r="D39">
        <v>40</v>
      </c>
      <c r="E39" s="21">
        <f>+D39*C39*52</f>
        <v>38376</v>
      </c>
      <c r="F39" s="30">
        <f aca="true" t="shared" si="11" ref="F39:F45">+E39*0.0765</f>
        <v>2935.764</v>
      </c>
      <c r="G39" s="25">
        <f>9000*0.015</f>
        <v>135</v>
      </c>
      <c r="H39" s="25">
        <f aca="true" t="shared" si="12" ref="H39:H45">E39*0.013</f>
        <v>498.888</v>
      </c>
      <c r="I39" s="25">
        <v>381.48</v>
      </c>
      <c r="J39" s="25">
        <f>E39*3%</f>
        <v>1151.28</v>
      </c>
      <c r="K39" s="25">
        <f>E39*3%</f>
        <v>1151.28</v>
      </c>
      <c r="L39" s="21">
        <f t="shared" si="7"/>
        <v>6253.692</v>
      </c>
    </row>
    <row r="40" spans="1:12" ht="12.75">
      <c r="A40" s="103" t="s">
        <v>198</v>
      </c>
      <c r="B40" s="21">
        <v>10</v>
      </c>
      <c r="C40" s="21">
        <f t="shared" si="10"/>
        <v>12</v>
      </c>
      <c r="D40">
        <v>40</v>
      </c>
      <c r="E40" s="21">
        <f aca="true" t="shared" si="13" ref="E40:E45">+D40*C40*43</f>
        <v>20640</v>
      </c>
      <c r="F40" s="30">
        <f>+E40*0.0765</f>
        <v>1578.96</v>
      </c>
      <c r="G40" s="25">
        <f>9000*0.015</f>
        <v>135</v>
      </c>
      <c r="H40" s="25">
        <f>E40*0.013</f>
        <v>268.32</v>
      </c>
      <c r="I40" s="25">
        <v>381.48</v>
      </c>
      <c r="J40" s="25">
        <f>E40*3%</f>
        <v>619.1999999999999</v>
      </c>
      <c r="K40" s="25">
        <f>E40*3%</f>
        <v>619.1999999999999</v>
      </c>
      <c r="L40" s="21">
        <f t="shared" si="7"/>
        <v>3602.16</v>
      </c>
    </row>
    <row r="41" spans="1:12" ht="12.75">
      <c r="A41" s="103" t="s">
        <v>199</v>
      </c>
      <c r="B41" s="21">
        <v>8.5</v>
      </c>
      <c r="C41" s="21">
        <f t="shared" si="10"/>
        <v>10.5</v>
      </c>
      <c r="D41">
        <v>16</v>
      </c>
      <c r="E41" s="21">
        <f t="shared" si="13"/>
        <v>7224</v>
      </c>
      <c r="F41" s="30">
        <f t="shared" si="11"/>
        <v>552.636</v>
      </c>
      <c r="G41" s="25">
        <f>9000*0.015</f>
        <v>135</v>
      </c>
      <c r="H41" s="25">
        <f t="shared" si="12"/>
        <v>93.91199999999999</v>
      </c>
      <c r="I41" s="27"/>
      <c r="J41" s="28"/>
      <c r="K41" s="28"/>
      <c r="L41" s="21">
        <f t="shared" si="7"/>
        <v>781.548</v>
      </c>
    </row>
    <row r="42" spans="1:13" ht="12.75">
      <c r="A42" s="103" t="s">
        <v>194</v>
      </c>
      <c r="B42" s="21">
        <v>8</v>
      </c>
      <c r="C42" s="21">
        <f t="shared" si="10"/>
        <v>10</v>
      </c>
      <c r="D42">
        <v>29</v>
      </c>
      <c r="E42" s="21">
        <f t="shared" si="13"/>
        <v>12470</v>
      </c>
      <c r="F42" s="30">
        <f t="shared" si="11"/>
        <v>953.9549999999999</v>
      </c>
      <c r="G42" s="25">
        <v>135</v>
      </c>
      <c r="H42" s="25">
        <f t="shared" si="12"/>
        <v>162.10999999999999</v>
      </c>
      <c r="I42" s="27"/>
      <c r="J42" s="27"/>
      <c r="K42" s="27"/>
      <c r="L42" s="21">
        <f t="shared" si="7"/>
        <v>1251.0649999999998</v>
      </c>
      <c r="M42" s="21">
        <v>387078.2564554603</v>
      </c>
    </row>
    <row r="43" spans="1:13" ht="12.75">
      <c r="A43" s="103" t="s">
        <v>180</v>
      </c>
      <c r="B43" s="21">
        <v>9</v>
      </c>
      <c r="C43" s="21">
        <f t="shared" si="10"/>
        <v>11</v>
      </c>
      <c r="D43">
        <v>16</v>
      </c>
      <c r="E43" s="21">
        <f t="shared" si="13"/>
        <v>7568</v>
      </c>
      <c r="F43" s="30">
        <f t="shared" si="11"/>
        <v>578.952</v>
      </c>
      <c r="G43" s="25">
        <v>135</v>
      </c>
      <c r="H43" s="25">
        <f t="shared" si="12"/>
        <v>98.384</v>
      </c>
      <c r="I43" s="27"/>
      <c r="J43" s="28"/>
      <c r="K43" s="28"/>
      <c r="L43" s="21">
        <f t="shared" si="7"/>
        <v>812.336</v>
      </c>
      <c r="M43" s="21"/>
    </row>
    <row r="44" spans="1:13" ht="12.75">
      <c r="A44" s="103" t="s">
        <v>195</v>
      </c>
      <c r="B44" s="21">
        <v>8.5</v>
      </c>
      <c r="C44" s="21">
        <f t="shared" si="10"/>
        <v>10.5</v>
      </c>
      <c r="D44">
        <v>15</v>
      </c>
      <c r="E44" s="21">
        <f t="shared" si="13"/>
        <v>6772.5</v>
      </c>
      <c r="F44" s="30">
        <f t="shared" si="11"/>
        <v>518.0962499999999</v>
      </c>
      <c r="G44" s="25">
        <f>+E44*0.013</f>
        <v>88.04249999999999</v>
      </c>
      <c r="H44" s="25">
        <f t="shared" si="12"/>
        <v>88.04249999999999</v>
      </c>
      <c r="I44" s="27"/>
      <c r="J44" s="27"/>
      <c r="K44" s="27"/>
      <c r="L44" s="21">
        <f t="shared" si="7"/>
        <v>694.18125</v>
      </c>
      <c r="M44" s="21"/>
    </row>
    <row r="45" spans="1:13" ht="12.75">
      <c r="A45" t="s">
        <v>197</v>
      </c>
      <c r="B45" s="21">
        <v>8.5</v>
      </c>
      <c r="C45" s="21">
        <f t="shared" si="10"/>
        <v>10.5</v>
      </c>
      <c r="D45">
        <v>29</v>
      </c>
      <c r="E45" s="21">
        <f t="shared" si="13"/>
        <v>13093.5</v>
      </c>
      <c r="F45" s="30">
        <f t="shared" si="11"/>
        <v>1001.65275</v>
      </c>
      <c r="G45" s="25">
        <f>9000*0.015</f>
        <v>135</v>
      </c>
      <c r="H45" s="25">
        <f t="shared" si="12"/>
        <v>170.2155</v>
      </c>
      <c r="I45" s="102"/>
      <c r="J45" s="102"/>
      <c r="K45" s="102"/>
      <c r="L45" s="21">
        <f t="shared" si="7"/>
        <v>1306.86825</v>
      </c>
      <c r="M45" s="21"/>
    </row>
    <row r="46" spans="1:13" ht="15.75" thickBot="1">
      <c r="A46" t="s">
        <v>89</v>
      </c>
      <c r="D46">
        <f>SUM(D39:D45)</f>
        <v>185</v>
      </c>
      <c r="E46" s="35">
        <f>SUM(E39:E45)</f>
        <v>106144</v>
      </c>
      <c r="F46" s="35">
        <f aca="true" t="shared" si="14" ref="F46:K46">SUM(F39:F43)</f>
        <v>6600.267000000001</v>
      </c>
      <c r="G46" s="29">
        <f t="shared" si="14"/>
        <v>675</v>
      </c>
      <c r="H46" s="29">
        <f t="shared" si="14"/>
        <v>1121.614</v>
      </c>
      <c r="I46" s="29">
        <f t="shared" si="14"/>
        <v>762.96</v>
      </c>
      <c r="J46" s="29">
        <f t="shared" si="14"/>
        <v>1770.48</v>
      </c>
      <c r="K46" s="29">
        <f t="shared" si="14"/>
        <v>1770.48</v>
      </c>
      <c r="L46" s="21">
        <f>SUM(L39:L45)</f>
        <v>14701.850499999999</v>
      </c>
      <c r="M46" s="45"/>
    </row>
    <row r="47" spans="1:13" s="22" customFormat="1" ht="13.5" thickBot="1">
      <c r="A47" s="22" t="s">
        <v>91</v>
      </c>
      <c r="B47" s="60"/>
      <c r="C47" s="60"/>
      <c r="D47" s="95">
        <f aca="true" t="shared" si="15" ref="D47:L47">+D17+D27+D31+D36+D46</f>
        <v>685.5</v>
      </c>
      <c r="E47" s="185">
        <f t="shared" si="15"/>
        <v>444967.81</v>
      </c>
      <c r="F47" s="185">
        <f t="shared" si="15"/>
        <v>32520.288465</v>
      </c>
      <c r="G47" s="185">
        <f t="shared" si="15"/>
        <v>2729.65495</v>
      </c>
      <c r="H47" s="185">
        <f t="shared" si="15"/>
        <v>6198.558729999999</v>
      </c>
      <c r="I47" s="185">
        <f t="shared" si="15"/>
        <v>3433.32</v>
      </c>
      <c r="J47" s="185">
        <f t="shared" si="15"/>
        <v>8669.701200000001</v>
      </c>
      <c r="K47" s="185">
        <f t="shared" si="15"/>
        <v>8669.701200000001</v>
      </c>
      <c r="L47" s="60">
        <f t="shared" si="15"/>
        <v>63550.038845</v>
      </c>
      <c r="M47" s="60">
        <f>+L47+E47</f>
        <v>508517.84884500003</v>
      </c>
    </row>
    <row r="48" ht="13.5" thickTop="1"/>
    <row r="49" spans="1:13" s="93" customFormat="1" ht="13.5" thickBot="1">
      <c r="A49" s="22" t="s">
        <v>214</v>
      </c>
      <c r="D49" s="95">
        <v>660</v>
      </c>
      <c r="E49" s="96">
        <v>414877.9613999999</v>
      </c>
      <c r="F49" s="96">
        <v>31738.164047099996</v>
      </c>
      <c r="G49" s="96">
        <v>2881.6058334</v>
      </c>
      <c r="H49" s="96">
        <v>14105.8506876</v>
      </c>
      <c r="I49" s="96">
        <v>3135.04</v>
      </c>
      <c r="J49" s="96">
        <v>7631.987999999999</v>
      </c>
      <c r="K49" s="96">
        <v>7631.987999999999</v>
      </c>
      <c r="L49" s="93">
        <v>62299.77282960001</v>
      </c>
      <c r="M49" s="93">
        <v>431238.8992296</v>
      </c>
    </row>
    <row r="50" ht="13.5" thickTop="1"/>
    <row r="51" spans="1:12" s="22" customFormat="1" ht="15.75">
      <c r="A51" s="22" t="s">
        <v>166</v>
      </c>
      <c r="B51" s="60"/>
      <c r="C51" s="60"/>
      <c r="E51" s="107">
        <f>+E47-E49</f>
        <v>30089.848600000085</v>
      </c>
      <c r="F51" s="107"/>
      <c r="G51" s="107"/>
      <c r="H51" s="107"/>
      <c r="I51" s="108"/>
      <c r="J51" s="107"/>
      <c r="K51" s="107"/>
      <c r="L51" s="107"/>
    </row>
    <row r="53" s="93" customFormat="1" ht="15">
      <c r="E53" s="94"/>
    </row>
  </sheetData>
  <sheetProtection/>
  <printOptions/>
  <pageMargins left="0.75" right="0.75" top="0.25" bottom="0.25" header="0.5" footer="0.25"/>
  <pageSetup fitToHeight="1" fitToWidth="1" horizontalDpi="600" verticalDpi="600" orientation="portrait" r:id="rId1"/>
  <headerFooter alignWithMargins="0">
    <oddFooter>&amp;L&amp;B Confidential&amp;B&amp;C&amp;D&amp;RPage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PageLayoutView="0" workbookViewId="0" topLeftCell="A1">
      <pane xSplit="1" ySplit="5" topLeftCell="B24" activePane="bottomRight" state="frozen"/>
      <selection pane="topLeft" activeCell="K112" sqref="K112"/>
      <selection pane="topRight" activeCell="K112" sqref="K112"/>
      <selection pane="bottomLeft" activeCell="K112" sqref="K112"/>
      <selection pane="bottomRight" activeCell="E30" sqref="E30"/>
    </sheetView>
  </sheetViews>
  <sheetFormatPr defaultColWidth="9.140625" defaultRowHeight="12.75"/>
  <cols>
    <col min="1" max="1" width="26.00390625" style="0" bestFit="1" customWidth="1"/>
    <col min="2" max="2" width="11.421875" style="21" customWidth="1"/>
    <col min="3" max="3" width="11.28125" style="21" customWidth="1"/>
    <col min="4" max="4" width="7.421875" style="0" customWidth="1"/>
    <col min="5" max="5" width="16.57421875" style="21" customWidth="1"/>
    <col min="6" max="6" width="15.140625" style="31" customWidth="1"/>
    <col min="7" max="7" width="10.7109375" style="0" customWidth="1"/>
    <col min="8" max="8" width="11.28125" style="0" customWidth="1"/>
    <col min="9" max="9" width="13.7109375" style="21" customWidth="1"/>
    <col min="10" max="10" width="13.7109375" style="0" customWidth="1"/>
    <col min="11" max="11" width="10.57421875" style="0" customWidth="1"/>
    <col min="12" max="12" width="15.140625" style="0" customWidth="1"/>
    <col min="13" max="13" width="16.57421875" style="0" bestFit="1" customWidth="1"/>
  </cols>
  <sheetData>
    <row r="1" ht="12.75">
      <c r="A1" s="22"/>
    </row>
    <row r="2" ht="18">
      <c r="A2" s="61" t="s">
        <v>186</v>
      </c>
    </row>
    <row r="3" spans="1:3" ht="18">
      <c r="A3" s="61"/>
      <c r="C3" s="187">
        <v>1</v>
      </c>
    </row>
    <row r="4" spans="1:11" ht="12.75">
      <c r="A4" t="s">
        <v>78</v>
      </c>
      <c r="B4" s="60" t="s">
        <v>179</v>
      </c>
      <c r="C4" s="60" t="s">
        <v>188</v>
      </c>
      <c r="D4" t="s">
        <v>92</v>
      </c>
      <c r="E4" s="23" t="s">
        <v>80</v>
      </c>
      <c r="F4" s="32" t="s">
        <v>93</v>
      </c>
      <c r="G4" s="24" t="s">
        <v>94</v>
      </c>
      <c r="H4" s="24" t="s">
        <v>95</v>
      </c>
      <c r="I4" s="92" t="s">
        <v>96</v>
      </c>
      <c r="J4" s="24" t="s">
        <v>97</v>
      </c>
      <c r="K4" s="24" t="s">
        <v>98</v>
      </c>
    </row>
    <row r="5" spans="1:11" ht="12.75">
      <c r="A5" s="22" t="s">
        <v>81</v>
      </c>
      <c r="B5" s="21" t="s">
        <v>79</v>
      </c>
      <c r="C5" s="21" t="s">
        <v>79</v>
      </c>
      <c r="F5" s="33"/>
      <c r="G5" s="24"/>
      <c r="H5" s="24"/>
      <c r="I5" s="92"/>
      <c r="J5" s="24"/>
      <c r="K5" s="24"/>
    </row>
    <row r="6" spans="1:12" ht="12.75">
      <c r="A6" t="s">
        <v>82</v>
      </c>
      <c r="B6" s="21">
        <v>25.88</v>
      </c>
      <c r="C6" s="21">
        <v>25.88</v>
      </c>
      <c r="D6">
        <v>40</v>
      </c>
      <c r="E6" s="21">
        <f aca="true" t="shared" si="0" ref="E6:E14">+D6*C6*52</f>
        <v>53830.4</v>
      </c>
      <c r="F6" s="30">
        <f aca="true" t="shared" si="1" ref="F6:F15">+E6*0.0765</f>
        <v>4118.0256</v>
      </c>
      <c r="G6" s="25">
        <f aca="true" t="shared" si="2" ref="G6:G11">9000*0.015</f>
        <v>135</v>
      </c>
      <c r="H6" s="25">
        <f>E6*0.013</f>
        <v>699.7952</v>
      </c>
      <c r="I6" s="25">
        <v>381.48</v>
      </c>
      <c r="J6" s="25">
        <f>E6*3%</f>
        <v>1614.912</v>
      </c>
      <c r="K6" s="25">
        <f>E6*3%</f>
        <v>1614.912</v>
      </c>
      <c r="L6" s="21">
        <f aca="true" t="shared" si="3" ref="L6:L19">SUM(F6:K6)</f>
        <v>8564.1248</v>
      </c>
    </row>
    <row r="7" spans="1:12" ht="12.75">
      <c r="A7" t="s">
        <v>83</v>
      </c>
      <c r="B7" s="21">
        <v>22.35</v>
      </c>
      <c r="C7" s="21">
        <v>22.35</v>
      </c>
      <c r="D7">
        <v>40</v>
      </c>
      <c r="E7" s="21">
        <f t="shared" si="0"/>
        <v>46488</v>
      </c>
      <c r="F7" s="30">
        <f t="shared" si="1"/>
        <v>3556.332</v>
      </c>
      <c r="G7" s="25">
        <f t="shared" si="2"/>
        <v>135</v>
      </c>
      <c r="H7" s="25">
        <f aca="true" t="shared" si="4" ref="H7:H15">E7*0.013</f>
        <v>604.3439999999999</v>
      </c>
      <c r="I7" s="25">
        <v>381.48</v>
      </c>
      <c r="J7" s="25">
        <f>E7*3%</f>
        <v>1394.6399999999999</v>
      </c>
      <c r="K7" s="25">
        <f>E7*3%</f>
        <v>1394.6399999999999</v>
      </c>
      <c r="L7" s="21">
        <f t="shared" si="3"/>
        <v>7466.435999999998</v>
      </c>
    </row>
    <row r="8" spans="1:12" ht="12.75">
      <c r="A8" t="s">
        <v>159</v>
      </c>
      <c r="B8" s="21">
        <v>12.73</v>
      </c>
      <c r="C8" s="21">
        <v>13.73</v>
      </c>
      <c r="D8">
        <v>40</v>
      </c>
      <c r="E8" s="21">
        <f>+D8*C8*52</f>
        <v>28558.4</v>
      </c>
      <c r="F8" s="30">
        <f>+E8*0.0765</f>
        <v>2184.7176</v>
      </c>
      <c r="G8" s="25">
        <f t="shared" si="2"/>
        <v>135</v>
      </c>
      <c r="H8" s="25">
        <f>E8*0.013</f>
        <v>371.2592</v>
      </c>
      <c r="I8" s="25">
        <v>381.48</v>
      </c>
      <c r="J8" s="25">
        <f>E8*3%</f>
        <v>856.7520000000001</v>
      </c>
      <c r="K8" s="25">
        <f>E8*3%</f>
        <v>856.7520000000001</v>
      </c>
      <c r="L8" s="21">
        <f t="shared" si="3"/>
        <v>4785.9608</v>
      </c>
    </row>
    <row r="9" spans="1:12" ht="12.75">
      <c r="A9" t="s">
        <v>173</v>
      </c>
      <c r="B9" s="21">
        <v>12.36</v>
      </c>
      <c r="C9" s="21">
        <v>13.36</v>
      </c>
      <c r="D9">
        <v>35</v>
      </c>
      <c r="E9" s="21">
        <f>+D9*C9*52</f>
        <v>24315.199999999997</v>
      </c>
      <c r="F9" s="30">
        <f>+E9*0.0765</f>
        <v>1860.1127999999997</v>
      </c>
      <c r="G9" s="25">
        <f t="shared" si="2"/>
        <v>135</v>
      </c>
      <c r="H9" s="25">
        <f>E9*0.013</f>
        <v>316.09759999999994</v>
      </c>
      <c r="I9" s="25">
        <v>381.48</v>
      </c>
      <c r="J9" s="25">
        <f>E9*3%</f>
        <v>729.4559999999999</v>
      </c>
      <c r="K9" s="25">
        <f>E9*3%</f>
        <v>729.4559999999999</v>
      </c>
      <c r="L9" s="21">
        <f t="shared" si="3"/>
        <v>4151.6024</v>
      </c>
    </row>
    <row r="10" spans="1:12" ht="12.75">
      <c r="A10" t="s">
        <v>181</v>
      </c>
      <c r="B10" s="21">
        <v>9</v>
      </c>
      <c r="C10" s="21">
        <v>10</v>
      </c>
      <c r="D10">
        <v>40</v>
      </c>
      <c r="E10" s="21">
        <f>+D10*C10*52</f>
        <v>20800</v>
      </c>
      <c r="F10" s="30">
        <f>+E10*0.0765</f>
        <v>1591.2</v>
      </c>
      <c r="G10" s="25">
        <f t="shared" si="2"/>
        <v>135</v>
      </c>
      <c r="H10" s="25">
        <f>E10*0.013</f>
        <v>270.4</v>
      </c>
      <c r="I10" s="25">
        <v>381.48</v>
      </c>
      <c r="J10" s="25">
        <f>E10*3%</f>
        <v>624</v>
      </c>
      <c r="K10" s="25">
        <f>E10*3%</f>
        <v>624</v>
      </c>
      <c r="L10" s="21">
        <f t="shared" si="3"/>
        <v>3626.08</v>
      </c>
    </row>
    <row r="11" spans="1:12" ht="12.75">
      <c r="A11" t="s">
        <v>154</v>
      </c>
      <c r="B11" s="21">
        <v>11.65</v>
      </c>
      <c r="C11" s="21">
        <v>12.65</v>
      </c>
      <c r="D11">
        <v>29</v>
      </c>
      <c r="E11" s="21">
        <f>+D11*C11*52</f>
        <v>19076.2</v>
      </c>
      <c r="F11" s="30">
        <f t="shared" si="1"/>
        <v>1459.3293</v>
      </c>
      <c r="G11" s="25">
        <f t="shared" si="2"/>
        <v>135</v>
      </c>
      <c r="H11" s="25">
        <f t="shared" si="4"/>
        <v>247.9906</v>
      </c>
      <c r="I11" s="27"/>
      <c r="J11" s="27"/>
      <c r="K11" s="27"/>
      <c r="L11" s="21">
        <f t="shared" si="3"/>
        <v>1842.3199000000002</v>
      </c>
    </row>
    <row r="12" spans="1:12" ht="12.75">
      <c r="A12" t="s">
        <v>198</v>
      </c>
      <c r="B12" s="21">
        <v>9</v>
      </c>
      <c r="C12" s="21">
        <v>10</v>
      </c>
      <c r="D12">
        <v>29</v>
      </c>
      <c r="E12" s="21">
        <f>+D12*C12*52</f>
        <v>15080</v>
      </c>
      <c r="F12" s="30">
        <f t="shared" si="1"/>
        <v>1153.62</v>
      </c>
      <c r="G12" s="25">
        <v>135</v>
      </c>
      <c r="H12" s="25">
        <f t="shared" si="4"/>
        <v>196.04</v>
      </c>
      <c r="I12" s="27"/>
      <c r="J12" s="27"/>
      <c r="K12" s="27"/>
      <c r="L12" s="21">
        <f t="shared" si="3"/>
        <v>1484.6599999999999</v>
      </c>
    </row>
    <row r="13" spans="1:12" ht="12.75">
      <c r="A13" t="s">
        <v>189</v>
      </c>
      <c r="B13" s="21">
        <v>9</v>
      </c>
      <c r="C13" s="21">
        <v>10</v>
      </c>
      <c r="D13">
        <v>29</v>
      </c>
      <c r="E13" s="21">
        <f t="shared" si="0"/>
        <v>15080</v>
      </c>
      <c r="F13" s="30">
        <f t="shared" si="1"/>
        <v>1153.62</v>
      </c>
      <c r="G13" s="25">
        <v>135</v>
      </c>
      <c r="H13" s="25">
        <f t="shared" si="4"/>
        <v>196.04</v>
      </c>
      <c r="I13" s="27"/>
      <c r="J13" s="27"/>
      <c r="K13" s="27"/>
      <c r="L13" s="21">
        <f t="shared" si="3"/>
        <v>1484.6599999999999</v>
      </c>
    </row>
    <row r="14" spans="1:12" ht="12.75">
      <c r="A14" t="s">
        <v>177</v>
      </c>
      <c r="B14" s="21">
        <v>8.57</v>
      </c>
      <c r="C14" s="21">
        <v>9.57</v>
      </c>
      <c r="D14">
        <v>39</v>
      </c>
      <c r="E14" s="21">
        <f t="shared" si="0"/>
        <v>19407.96</v>
      </c>
      <c r="F14" s="30">
        <f t="shared" si="1"/>
        <v>1484.70894</v>
      </c>
      <c r="G14" s="25">
        <f>9000*0.015</f>
        <v>135</v>
      </c>
      <c r="H14" s="25">
        <f t="shared" si="4"/>
        <v>252.30347999999998</v>
      </c>
      <c r="I14" s="27"/>
      <c r="J14" s="27"/>
      <c r="K14" s="27"/>
      <c r="L14" s="21">
        <f t="shared" si="3"/>
        <v>1872.01242</v>
      </c>
    </row>
    <row r="15" spans="1:12" ht="12.75">
      <c r="A15" s="103" t="s">
        <v>190</v>
      </c>
      <c r="B15" s="21">
        <v>7.96</v>
      </c>
      <c r="C15" s="21">
        <v>8.96</v>
      </c>
      <c r="D15">
        <v>18.5</v>
      </c>
      <c r="E15" s="21">
        <f>+D15*C15*52</f>
        <v>8619.52</v>
      </c>
      <c r="F15" s="176">
        <f t="shared" si="1"/>
        <v>659.39328</v>
      </c>
      <c r="G15" s="177">
        <f>9000*0.015</f>
        <v>135</v>
      </c>
      <c r="H15" s="177">
        <f t="shared" si="4"/>
        <v>112.05376</v>
      </c>
      <c r="I15" s="102"/>
      <c r="J15" s="102"/>
      <c r="K15" s="102"/>
      <c r="L15" s="21">
        <f>SUM(F15:K15)</f>
        <v>906.44704</v>
      </c>
    </row>
    <row r="16" spans="1:12" ht="12.75">
      <c r="A16" s="103" t="s">
        <v>182</v>
      </c>
      <c r="B16" s="21">
        <v>8.34</v>
      </c>
      <c r="C16" s="21">
        <v>9.34</v>
      </c>
      <c r="E16" s="21">
        <f>+D16*C16*52</f>
        <v>0</v>
      </c>
      <c r="F16" s="178">
        <f>+E16*0.0765</f>
        <v>0</v>
      </c>
      <c r="G16" s="179"/>
      <c r="H16" s="179">
        <f>E16*0.013</f>
        <v>0</v>
      </c>
      <c r="I16" s="180"/>
      <c r="J16" s="180"/>
      <c r="K16" s="180"/>
      <c r="L16" s="21"/>
    </row>
    <row r="17" spans="1:12" ht="12.75">
      <c r="A17" t="s">
        <v>84</v>
      </c>
      <c r="D17">
        <f aca="true" t="shared" si="5" ref="D17:K17">SUM(D6:D16)</f>
        <v>339.5</v>
      </c>
      <c r="E17" s="34">
        <f t="shared" si="5"/>
        <v>251255.68</v>
      </c>
      <c r="F17" s="101">
        <f t="shared" si="5"/>
        <v>19221.05952</v>
      </c>
      <c r="G17" s="101">
        <f t="shared" si="5"/>
        <v>1350</v>
      </c>
      <c r="H17" s="101">
        <f t="shared" si="5"/>
        <v>3266.32384</v>
      </c>
      <c r="I17" s="101">
        <f t="shared" si="5"/>
        <v>1907.4</v>
      </c>
      <c r="J17" s="101">
        <f t="shared" si="5"/>
        <v>5219.759999999999</v>
      </c>
      <c r="K17" s="101">
        <f t="shared" si="5"/>
        <v>5219.759999999999</v>
      </c>
      <c r="L17" s="21">
        <f>SUM(L6:L15)</f>
        <v>36184.30335999999</v>
      </c>
    </row>
    <row r="18" spans="6:12" ht="12.75">
      <c r="F18" s="100"/>
      <c r="G18" s="175"/>
      <c r="H18" s="175"/>
      <c r="I18" s="175"/>
      <c r="J18" s="181"/>
      <c r="K18" s="181"/>
      <c r="L18" s="21">
        <f t="shared" si="3"/>
        <v>0</v>
      </c>
    </row>
    <row r="19" spans="6:12" ht="12.75">
      <c r="F19" s="100"/>
      <c r="G19" s="175"/>
      <c r="H19" s="175"/>
      <c r="I19" s="175"/>
      <c r="J19" s="175"/>
      <c r="K19" s="175"/>
      <c r="L19" s="21">
        <f t="shared" si="3"/>
        <v>0</v>
      </c>
    </row>
    <row r="20" spans="1:12" ht="12.75">
      <c r="A20" s="22" t="s">
        <v>85</v>
      </c>
      <c r="F20" s="182"/>
      <c r="G20" s="175"/>
      <c r="H20" s="175"/>
      <c r="I20" s="175"/>
      <c r="J20" s="181"/>
      <c r="K20" s="181"/>
      <c r="L20" s="21"/>
    </row>
    <row r="21" spans="1:12" ht="12.75">
      <c r="A21" t="s">
        <v>86</v>
      </c>
      <c r="B21" s="21">
        <v>14.64</v>
      </c>
      <c r="C21" s="21">
        <v>15.64</v>
      </c>
      <c r="D21">
        <v>37</v>
      </c>
      <c r="E21" s="21">
        <f>+D21*C21*52</f>
        <v>30091.360000000004</v>
      </c>
      <c r="F21" s="183">
        <f>+E21*0.0765</f>
        <v>2301.9890400000004</v>
      </c>
      <c r="G21" s="184">
        <f>9000*0.015</f>
        <v>135</v>
      </c>
      <c r="H21" s="184">
        <f>E21*0.013</f>
        <v>391.18768000000006</v>
      </c>
      <c r="I21" s="184">
        <v>381.48</v>
      </c>
      <c r="J21" s="184">
        <f>E21*3%</f>
        <v>902.7408000000001</v>
      </c>
      <c r="K21" s="184">
        <f>E21*3%</f>
        <v>902.7408000000001</v>
      </c>
      <c r="L21" s="21">
        <f aca="true" t="shared" si="6" ref="L21:L45">SUM(F21:K21)</f>
        <v>5015.138320000001</v>
      </c>
    </row>
    <row r="22" spans="1:12" ht="12.75">
      <c r="A22" t="s">
        <v>191</v>
      </c>
      <c r="B22" s="21">
        <v>10</v>
      </c>
      <c r="C22" s="21">
        <v>11</v>
      </c>
      <c r="D22">
        <v>29</v>
      </c>
      <c r="E22" s="21">
        <f>+D22*C22*52</f>
        <v>16588</v>
      </c>
      <c r="F22" s="30">
        <f>+E22*0.0765</f>
        <v>1268.982</v>
      </c>
      <c r="G22" s="25">
        <f>9000*0.015</f>
        <v>135</v>
      </c>
      <c r="H22" s="25">
        <f>E22*0.013</f>
        <v>215.64399999999998</v>
      </c>
      <c r="I22" s="27"/>
      <c r="J22" s="27"/>
      <c r="K22" s="27"/>
      <c r="L22" s="21">
        <f t="shared" si="6"/>
        <v>1619.626</v>
      </c>
    </row>
    <row r="23" spans="1:12" ht="12.75">
      <c r="A23" t="s">
        <v>192</v>
      </c>
      <c r="B23" s="21">
        <v>8</v>
      </c>
      <c r="C23" s="21">
        <v>9</v>
      </c>
      <c r="D23">
        <v>25</v>
      </c>
      <c r="E23" s="21">
        <f>+D23*C23*52</f>
        <v>11700</v>
      </c>
      <c r="F23" s="30">
        <f>+E23*0.0765</f>
        <v>895.05</v>
      </c>
      <c r="G23" s="25">
        <f>+E23*0.013</f>
        <v>152.1</v>
      </c>
      <c r="H23" s="25">
        <f>E23*0.013</f>
        <v>152.1</v>
      </c>
      <c r="I23" s="27"/>
      <c r="J23" s="28"/>
      <c r="K23" s="28"/>
      <c r="L23" s="21">
        <f>SUM(F23:K23)</f>
        <v>1199.2499999999998</v>
      </c>
    </row>
    <row r="24" spans="1:12" ht="12.75">
      <c r="A24" t="s">
        <v>193</v>
      </c>
      <c r="B24" s="21">
        <v>8</v>
      </c>
      <c r="C24" s="21">
        <v>9</v>
      </c>
      <c r="D24">
        <v>25</v>
      </c>
      <c r="E24" s="21">
        <f>+D24*C24*52</f>
        <v>11700</v>
      </c>
      <c r="F24" s="30">
        <f>+E24*0.0765</f>
        <v>895.05</v>
      </c>
      <c r="G24" s="25">
        <f>9000*0.015</f>
        <v>135</v>
      </c>
      <c r="H24" s="25">
        <f>E24*0.013</f>
        <v>152.1</v>
      </c>
      <c r="I24" s="27"/>
      <c r="J24" s="27"/>
      <c r="K24" s="27"/>
      <c r="L24" s="21">
        <f t="shared" si="6"/>
        <v>1182.1499999999999</v>
      </c>
    </row>
    <row r="25" spans="1:12" ht="12.75">
      <c r="A25" s="103"/>
      <c r="F25" s="30"/>
      <c r="G25" s="25"/>
      <c r="H25" s="25"/>
      <c r="I25" s="27"/>
      <c r="J25" s="28"/>
      <c r="K25" s="28"/>
      <c r="L25" s="21">
        <f t="shared" si="6"/>
        <v>0</v>
      </c>
    </row>
    <row r="26" spans="6:12" ht="12.75">
      <c r="F26" s="30"/>
      <c r="G26" s="25"/>
      <c r="H26" s="25"/>
      <c r="I26" s="27"/>
      <c r="J26" s="28"/>
      <c r="K26" s="28"/>
      <c r="L26" s="21"/>
    </row>
    <row r="27" spans="1:12" ht="12.75">
      <c r="A27" t="s">
        <v>87</v>
      </c>
      <c r="D27">
        <f aca="true" t="shared" si="7" ref="D27:K27">SUM(D21:D25)</f>
        <v>116</v>
      </c>
      <c r="E27" s="34">
        <f t="shared" si="7"/>
        <v>70079.36</v>
      </c>
      <c r="F27" s="34">
        <f t="shared" si="7"/>
        <v>5361.071040000001</v>
      </c>
      <c r="G27" s="27">
        <f t="shared" si="7"/>
        <v>557.1</v>
      </c>
      <c r="H27" s="27">
        <f t="shared" si="7"/>
        <v>911.03168</v>
      </c>
      <c r="I27" s="27">
        <f t="shared" si="7"/>
        <v>381.48</v>
      </c>
      <c r="J27" s="27">
        <f t="shared" si="7"/>
        <v>902.7408000000001</v>
      </c>
      <c r="K27" s="27">
        <f t="shared" si="7"/>
        <v>902.7408000000001</v>
      </c>
      <c r="L27" s="21">
        <f>SUM(L21:L26)</f>
        <v>9016.164320000002</v>
      </c>
    </row>
    <row r="28" spans="6:12" ht="12.75">
      <c r="F28" s="34"/>
      <c r="G28" s="27"/>
      <c r="H28" s="27"/>
      <c r="I28" s="27"/>
      <c r="J28" s="28"/>
      <c r="K28" s="28"/>
      <c r="L28" s="21">
        <f t="shared" si="6"/>
        <v>0</v>
      </c>
    </row>
    <row r="29" spans="1:12" ht="12.75">
      <c r="A29" s="22" t="s">
        <v>88</v>
      </c>
      <c r="F29" s="34"/>
      <c r="G29" s="27"/>
      <c r="H29" s="27"/>
      <c r="I29" s="27"/>
      <c r="J29" s="28"/>
      <c r="K29" s="28"/>
      <c r="L29" s="21">
        <f t="shared" si="6"/>
        <v>0</v>
      </c>
    </row>
    <row r="30" spans="1:12" ht="12.75">
      <c r="A30" t="s">
        <v>167</v>
      </c>
      <c r="B30" s="21">
        <v>13.39</v>
      </c>
      <c r="C30" s="21">
        <v>14.39</v>
      </c>
      <c r="D30">
        <v>40</v>
      </c>
      <c r="E30" s="21">
        <f>+D30*C30*52</f>
        <v>29931.2</v>
      </c>
      <c r="F30" s="30">
        <f>+E30*0.0765</f>
        <v>2289.7368</v>
      </c>
      <c r="G30" s="25">
        <f>9000*0.015</f>
        <v>135</v>
      </c>
      <c r="H30" s="25">
        <f>E30*0.013</f>
        <v>389.1056</v>
      </c>
      <c r="I30" s="184">
        <v>381.48</v>
      </c>
      <c r="J30" s="184">
        <f>E30*3%</f>
        <v>897.936</v>
      </c>
      <c r="K30" s="184">
        <f>E30*3%</f>
        <v>897.936</v>
      </c>
      <c r="L30" s="21">
        <f t="shared" si="6"/>
        <v>4991.1944</v>
      </c>
    </row>
    <row r="31" spans="4:12" ht="12.75">
      <c r="D31">
        <f>SUM(D30:D30)</f>
        <v>40</v>
      </c>
      <c r="E31" s="21">
        <f>SUM(E30:E30)</f>
        <v>29931.2</v>
      </c>
      <c r="F31" s="30">
        <f>SUM(F30:F30)</f>
        <v>2289.7368</v>
      </c>
      <c r="G31" s="25">
        <f>SUM(G30:G30)</f>
        <v>135</v>
      </c>
      <c r="H31" s="25">
        <f>E31*0.034</f>
        <v>1017.6608000000001</v>
      </c>
      <c r="I31" s="27">
        <f>SUM(I30:I30)</f>
        <v>381.48</v>
      </c>
      <c r="J31" s="27">
        <f>SUM(J30:J30)</f>
        <v>897.936</v>
      </c>
      <c r="K31" s="27">
        <f>SUM(K30:K30)</f>
        <v>897.936</v>
      </c>
      <c r="L31" s="21">
        <f>SUM(L30:L30)</f>
        <v>4991.1944</v>
      </c>
    </row>
    <row r="32" spans="6:12" ht="12.75">
      <c r="F32" s="34"/>
      <c r="G32" s="27"/>
      <c r="H32" s="27"/>
      <c r="I32" s="27"/>
      <c r="J32" s="28"/>
      <c r="K32" s="28"/>
      <c r="L32" s="21">
        <f t="shared" si="6"/>
        <v>0</v>
      </c>
    </row>
    <row r="33" spans="1:12" ht="12.75">
      <c r="A33" s="22" t="s">
        <v>168</v>
      </c>
      <c r="F33" s="34"/>
      <c r="G33" s="27"/>
      <c r="H33" s="27"/>
      <c r="I33" s="27"/>
      <c r="J33" s="28"/>
      <c r="K33" s="28"/>
      <c r="L33" s="21">
        <f t="shared" si="6"/>
        <v>0</v>
      </c>
    </row>
    <row r="34" spans="1:12" ht="12.75">
      <c r="A34" s="103" t="s">
        <v>171</v>
      </c>
      <c r="B34" s="21">
        <v>8.61</v>
      </c>
      <c r="C34" s="21">
        <v>9.61</v>
      </c>
      <c r="D34">
        <v>5</v>
      </c>
      <c r="E34" s="21">
        <f>+D34*C34*52</f>
        <v>2498.6</v>
      </c>
      <c r="F34" s="30">
        <f>+E34*0.0765</f>
        <v>191.1429</v>
      </c>
      <c r="G34" s="25">
        <f>+E34*0.013</f>
        <v>32.4818</v>
      </c>
      <c r="H34" s="25">
        <f>E34*0.013</f>
        <v>32.4818</v>
      </c>
      <c r="I34" s="27"/>
      <c r="J34" s="28"/>
      <c r="K34" s="27"/>
      <c r="L34" s="21">
        <f t="shared" si="6"/>
        <v>256.1065</v>
      </c>
    </row>
    <row r="35" spans="5:12" ht="12.75">
      <c r="E35" s="21">
        <f>+D35*C35*52</f>
        <v>0</v>
      </c>
      <c r="F35" s="30">
        <f>+E35*0.0765</f>
        <v>0</v>
      </c>
      <c r="G35" s="25">
        <f>+E35*0.033</f>
        <v>0</v>
      </c>
      <c r="H35" s="25"/>
      <c r="I35" s="27"/>
      <c r="J35" s="28"/>
      <c r="K35" s="27"/>
      <c r="L35" s="21">
        <f t="shared" si="6"/>
        <v>0</v>
      </c>
    </row>
    <row r="36" spans="1:12" ht="12.75">
      <c r="A36" t="s">
        <v>89</v>
      </c>
      <c r="D36">
        <f>SUM(D34:D35)</f>
        <v>5</v>
      </c>
      <c r="E36" s="34">
        <f>SUM(E34:E35)</f>
        <v>2498.6</v>
      </c>
      <c r="F36" s="34">
        <f aca="true" t="shared" si="8" ref="F36:K36">SUM(F34:F35)</f>
        <v>191.1429</v>
      </c>
      <c r="G36" s="27">
        <f t="shared" si="8"/>
        <v>32.4818</v>
      </c>
      <c r="H36" s="27">
        <f t="shared" si="8"/>
        <v>32.4818</v>
      </c>
      <c r="I36" s="27">
        <f t="shared" si="8"/>
        <v>0</v>
      </c>
      <c r="J36" s="27">
        <f t="shared" si="8"/>
        <v>0</v>
      </c>
      <c r="K36" s="27">
        <f t="shared" si="8"/>
        <v>0</v>
      </c>
      <c r="L36" s="21">
        <f t="shared" si="6"/>
        <v>256.1065</v>
      </c>
    </row>
    <row r="37" spans="6:12" ht="12.75">
      <c r="F37" s="34"/>
      <c r="G37" s="27"/>
      <c r="H37" s="27"/>
      <c r="I37" s="27"/>
      <c r="J37" s="28"/>
      <c r="K37" s="28"/>
      <c r="L37" s="21">
        <f t="shared" si="6"/>
        <v>0</v>
      </c>
    </row>
    <row r="38" spans="1:12" ht="12.75">
      <c r="A38" s="22" t="s">
        <v>90</v>
      </c>
      <c r="F38" s="34"/>
      <c r="G38" s="27"/>
      <c r="H38" s="27"/>
      <c r="I38" s="27"/>
      <c r="J38" s="28"/>
      <c r="K38" s="28"/>
      <c r="L38" s="21">
        <f t="shared" si="6"/>
        <v>0</v>
      </c>
    </row>
    <row r="39" spans="1:12" ht="12.75">
      <c r="A39" t="s">
        <v>178</v>
      </c>
      <c r="B39" s="21">
        <v>16.45</v>
      </c>
      <c r="C39" s="21">
        <v>17.45</v>
      </c>
      <c r="D39">
        <v>40</v>
      </c>
      <c r="E39" s="21">
        <f aca="true" t="shared" si="9" ref="E39:E45">+D39*C39*52</f>
        <v>36296</v>
      </c>
      <c r="F39" s="30">
        <f aca="true" t="shared" si="10" ref="F39:F45">+E39*0.0765</f>
        <v>2776.644</v>
      </c>
      <c r="G39" s="25">
        <f>9000*0.015</f>
        <v>135</v>
      </c>
      <c r="H39" s="25">
        <f aca="true" t="shared" si="11" ref="H39:H45">E39*0.013</f>
        <v>471.84799999999996</v>
      </c>
      <c r="I39" s="25">
        <v>381.48</v>
      </c>
      <c r="J39" s="25">
        <f>E39*3%</f>
        <v>1088.8799999999999</v>
      </c>
      <c r="K39" s="25">
        <f>E39*3%</f>
        <v>1088.8799999999999</v>
      </c>
      <c r="L39" s="21">
        <f t="shared" si="6"/>
        <v>5942.732</v>
      </c>
    </row>
    <row r="40" spans="1:12" ht="12.75">
      <c r="A40" s="103" t="s">
        <v>198</v>
      </c>
      <c r="B40" s="21">
        <v>10</v>
      </c>
      <c r="C40" s="21">
        <v>11</v>
      </c>
      <c r="D40">
        <v>40</v>
      </c>
      <c r="E40" s="21">
        <f>+D40*C40*52</f>
        <v>22880</v>
      </c>
      <c r="F40" s="30">
        <f>+E40*0.0765</f>
        <v>1750.32</v>
      </c>
      <c r="G40" s="25">
        <v>0</v>
      </c>
      <c r="H40" s="25">
        <f>E40*0.013</f>
        <v>297.44</v>
      </c>
      <c r="I40" s="25">
        <v>381.48</v>
      </c>
      <c r="J40" s="25">
        <f>E40*3%</f>
        <v>686.4</v>
      </c>
      <c r="K40" s="25">
        <f>E40*3%</f>
        <v>686.4</v>
      </c>
      <c r="L40" s="21">
        <f t="shared" si="6"/>
        <v>3802.04</v>
      </c>
    </row>
    <row r="41" spans="1:12" ht="12.75">
      <c r="A41" s="103" t="s">
        <v>199</v>
      </c>
      <c r="B41" s="21">
        <v>8.5</v>
      </c>
      <c r="C41" s="21">
        <v>9.5</v>
      </c>
      <c r="D41">
        <v>16</v>
      </c>
      <c r="E41" s="21">
        <f t="shared" si="9"/>
        <v>7904</v>
      </c>
      <c r="F41" s="30">
        <f t="shared" si="10"/>
        <v>604.656</v>
      </c>
      <c r="G41" s="25">
        <f>9000*0.015</f>
        <v>135</v>
      </c>
      <c r="H41" s="25">
        <f t="shared" si="11"/>
        <v>102.752</v>
      </c>
      <c r="I41" s="27"/>
      <c r="J41" s="28"/>
      <c r="K41" s="28"/>
      <c r="L41" s="21">
        <f t="shared" si="6"/>
        <v>842.4079999999999</v>
      </c>
    </row>
    <row r="42" spans="1:13" ht="12.75">
      <c r="A42" s="103" t="s">
        <v>194</v>
      </c>
      <c r="B42" s="21">
        <v>8</v>
      </c>
      <c r="C42" s="21">
        <v>9</v>
      </c>
      <c r="D42">
        <v>29</v>
      </c>
      <c r="E42" s="21">
        <f t="shared" si="9"/>
        <v>13572</v>
      </c>
      <c r="F42" s="30">
        <f t="shared" si="10"/>
        <v>1038.258</v>
      </c>
      <c r="G42" s="25">
        <f>+E42*0.013</f>
        <v>176.43599999999998</v>
      </c>
      <c r="H42" s="25">
        <f t="shared" si="11"/>
        <v>176.43599999999998</v>
      </c>
      <c r="I42" s="27"/>
      <c r="J42" s="27"/>
      <c r="K42" s="27"/>
      <c r="L42" s="21">
        <f t="shared" si="6"/>
        <v>1391.1299999999999</v>
      </c>
      <c r="M42" s="21">
        <v>387078.2564554603</v>
      </c>
    </row>
    <row r="43" spans="1:13" ht="12.75">
      <c r="A43" s="103" t="s">
        <v>180</v>
      </c>
      <c r="B43" s="21">
        <v>9</v>
      </c>
      <c r="C43" s="21">
        <v>10</v>
      </c>
      <c r="D43">
        <v>16</v>
      </c>
      <c r="E43" s="21">
        <f t="shared" si="9"/>
        <v>8320</v>
      </c>
      <c r="F43" s="30">
        <f t="shared" si="10"/>
        <v>636.48</v>
      </c>
      <c r="G43" s="25">
        <f>+E43*0.013</f>
        <v>108.16</v>
      </c>
      <c r="H43" s="25">
        <f t="shared" si="11"/>
        <v>108.16</v>
      </c>
      <c r="I43" s="27"/>
      <c r="J43" s="28"/>
      <c r="K43" s="28"/>
      <c r="L43" s="21">
        <f t="shared" si="6"/>
        <v>852.8</v>
      </c>
      <c r="M43" s="21"/>
    </row>
    <row r="44" spans="1:13" ht="12.75">
      <c r="A44" s="103" t="s">
        <v>195</v>
      </c>
      <c r="B44" s="21">
        <v>8.5</v>
      </c>
      <c r="C44" s="21">
        <v>9.5</v>
      </c>
      <c r="D44">
        <v>15</v>
      </c>
      <c r="E44" s="21">
        <f t="shared" si="9"/>
        <v>7410</v>
      </c>
      <c r="F44" s="30">
        <f t="shared" si="10"/>
        <v>566.865</v>
      </c>
      <c r="G44" s="25">
        <f>+E44*0.013</f>
        <v>96.33</v>
      </c>
      <c r="H44" s="25">
        <f t="shared" si="11"/>
        <v>96.33</v>
      </c>
      <c r="I44" s="27"/>
      <c r="J44" s="27"/>
      <c r="K44" s="27"/>
      <c r="L44" s="21">
        <f t="shared" si="6"/>
        <v>759.5250000000001</v>
      </c>
      <c r="M44" s="21"/>
    </row>
    <row r="45" spans="1:13" ht="12.75">
      <c r="A45" t="s">
        <v>197</v>
      </c>
      <c r="B45" s="21">
        <v>8.5</v>
      </c>
      <c r="C45" s="21">
        <v>9.5</v>
      </c>
      <c r="D45">
        <v>29</v>
      </c>
      <c r="E45" s="21">
        <f t="shared" si="9"/>
        <v>14326</v>
      </c>
      <c r="F45" s="30">
        <f t="shared" si="10"/>
        <v>1095.939</v>
      </c>
      <c r="G45" s="25">
        <f>9000*0.015</f>
        <v>135</v>
      </c>
      <c r="H45" s="25">
        <f t="shared" si="11"/>
        <v>186.238</v>
      </c>
      <c r="I45" s="102"/>
      <c r="J45" s="102"/>
      <c r="K45" s="102"/>
      <c r="L45" s="21">
        <f t="shared" si="6"/>
        <v>1417.1770000000001</v>
      </c>
      <c r="M45" s="21"/>
    </row>
    <row r="46" spans="1:13" ht="15.75" thickBot="1">
      <c r="A46" t="s">
        <v>89</v>
      </c>
      <c r="D46">
        <f>SUM(D39:D45)</f>
        <v>185</v>
      </c>
      <c r="E46" s="35">
        <f>SUM(E39:E45)</f>
        <v>110708</v>
      </c>
      <c r="F46" s="35">
        <f aca="true" t="shared" si="12" ref="F46:K46">SUM(F39:F43)</f>
        <v>6806.358</v>
      </c>
      <c r="G46" s="29">
        <f t="shared" si="12"/>
        <v>554.596</v>
      </c>
      <c r="H46" s="29">
        <f t="shared" si="12"/>
        <v>1156.636</v>
      </c>
      <c r="I46" s="29">
        <f t="shared" si="12"/>
        <v>762.96</v>
      </c>
      <c r="J46" s="29">
        <f t="shared" si="12"/>
        <v>1775.2799999999997</v>
      </c>
      <c r="K46" s="29">
        <f t="shared" si="12"/>
        <v>1775.2799999999997</v>
      </c>
      <c r="L46" s="21">
        <f>SUM(L39:L45)</f>
        <v>15007.811999999998</v>
      </c>
      <c r="M46" s="45"/>
    </row>
    <row r="47" spans="1:13" s="22" customFormat="1" ht="13.5" thickBot="1">
      <c r="A47" s="22" t="s">
        <v>91</v>
      </c>
      <c r="B47" s="60"/>
      <c r="C47" s="60"/>
      <c r="D47" s="95">
        <f aca="true" t="shared" si="13" ref="D47:L47">+D17+D27+D31+D36+D46</f>
        <v>685.5</v>
      </c>
      <c r="E47" s="185">
        <f t="shared" si="13"/>
        <v>464472.83999999997</v>
      </c>
      <c r="F47" s="185">
        <f t="shared" si="13"/>
        <v>33869.368259999996</v>
      </c>
      <c r="G47" s="185">
        <f t="shared" si="13"/>
        <v>2629.1778</v>
      </c>
      <c r="H47" s="185">
        <f t="shared" si="13"/>
        <v>6384.134120000001</v>
      </c>
      <c r="I47" s="185">
        <f t="shared" si="13"/>
        <v>3433.32</v>
      </c>
      <c r="J47" s="185">
        <f t="shared" si="13"/>
        <v>8795.716799999998</v>
      </c>
      <c r="K47" s="185">
        <f t="shared" si="13"/>
        <v>8795.716799999998</v>
      </c>
      <c r="L47" s="60">
        <f t="shared" si="13"/>
        <v>65455.580579999994</v>
      </c>
      <c r="M47" s="60">
        <f>+L47+E47</f>
        <v>529928.4205799999</v>
      </c>
    </row>
    <row r="48" ht="13.5" thickTop="1"/>
    <row r="49" spans="1:13" s="93" customFormat="1" ht="13.5" thickBot="1">
      <c r="A49" s="22" t="s">
        <v>174</v>
      </c>
      <c r="D49" s="95">
        <v>660</v>
      </c>
      <c r="E49" s="96">
        <v>414877.9613999999</v>
      </c>
      <c r="F49" s="96">
        <v>31738.164047099996</v>
      </c>
      <c r="G49" s="96">
        <v>2881.6058334</v>
      </c>
      <c r="H49" s="96">
        <v>14105.8506876</v>
      </c>
      <c r="I49" s="96">
        <v>3135.04</v>
      </c>
      <c r="J49" s="96">
        <v>7631.987999999999</v>
      </c>
      <c r="K49" s="96">
        <v>7631.987999999999</v>
      </c>
      <c r="L49" s="93">
        <v>62299.77282960001</v>
      </c>
      <c r="M49" s="93">
        <v>431238.8992296</v>
      </c>
    </row>
    <row r="50" ht="13.5" thickTop="1"/>
    <row r="51" spans="1:12" s="22" customFormat="1" ht="15.75">
      <c r="A51" s="22" t="s">
        <v>166</v>
      </c>
      <c r="B51" s="60"/>
      <c r="C51" s="60"/>
      <c r="E51" s="107">
        <f>+E47-E49</f>
        <v>49594.878600000055</v>
      </c>
      <c r="F51" s="107"/>
      <c r="G51" s="107"/>
      <c r="H51" s="107"/>
      <c r="I51" s="108"/>
      <c r="J51" s="107"/>
      <c r="K51" s="107"/>
      <c r="L51" s="107"/>
    </row>
    <row r="53" s="93" customFormat="1" ht="15">
      <c r="E53" s="94"/>
    </row>
  </sheetData>
  <sheetProtection/>
  <printOptions/>
  <pageMargins left="0.75" right="0.75" top="0.25" bottom="0.25" header="0.5" footer="0.25"/>
  <pageSetup fitToHeight="1" fitToWidth="1" horizontalDpi="600" verticalDpi="600" orientation="portrait" r:id="rId1"/>
  <headerFooter alignWithMargins="0">
    <oddFooter>&amp;L&amp;B Confidential&amp;B&amp;C&amp;D&amp;RPage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PageLayoutView="0" workbookViewId="0" topLeftCell="A1">
      <pane xSplit="1" ySplit="5" topLeftCell="B9" activePane="bottomRight" state="frozen"/>
      <selection pane="topLeft" activeCell="K112" sqref="K112"/>
      <selection pane="topRight" activeCell="K112" sqref="K112"/>
      <selection pane="bottomLeft" activeCell="K112" sqref="K112"/>
      <selection pane="bottomRight" activeCell="E13" sqref="E13"/>
    </sheetView>
  </sheetViews>
  <sheetFormatPr defaultColWidth="9.140625" defaultRowHeight="12.75"/>
  <cols>
    <col min="1" max="1" width="26.00390625" style="0" bestFit="1" customWidth="1"/>
    <col min="2" max="2" width="11.421875" style="21" customWidth="1"/>
    <col min="3" max="3" width="11.28125" style="21" customWidth="1"/>
    <col min="4" max="4" width="7.421875" style="0" customWidth="1"/>
    <col min="5" max="5" width="16.57421875" style="21" customWidth="1"/>
    <col min="6" max="6" width="15.140625" style="31" customWidth="1"/>
    <col min="7" max="7" width="10.7109375" style="0" customWidth="1"/>
    <col min="8" max="8" width="11.28125" style="0" customWidth="1"/>
    <col min="9" max="9" width="13.7109375" style="21" customWidth="1"/>
    <col min="10" max="10" width="13.7109375" style="0" customWidth="1"/>
    <col min="11" max="11" width="10.57421875" style="0" customWidth="1"/>
    <col min="12" max="12" width="15.140625" style="0" customWidth="1"/>
    <col min="13" max="13" width="16.57421875" style="0" bestFit="1" customWidth="1"/>
  </cols>
  <sheetData>
    <row r="1" ht="12.75">
      <c r="A1" s="22"/>
    </row>
    <row r="2" ht="18">
      <c r="A2" s="61" t="s">
        <v>186</v>
      </c>
    </row>
    <row r="3" spans="1:5" ht="18">
      <c r="A3" s="61"/>
      <c r="C3" s="187">
        <v>1</v>
      </c>
      <c r="E3" s="188"/>
    </row>
    <row r="4" spans="1:11" ht="12.75">
      <c r="A4" t="s">
        <v>78</v>
      </c>
      <c r="B4" s="60" t="s">
        <v>179</v>
      </c>
      <c r="C4" s="60" t="s">
        <v>188</v>
      </c>
      <c r="D4" t="s">
        <v>92</v>
      </c>
      <c r="E4" s="23" t="s">
        <v>80</v>
      </c>
      <c r="F4" s="32" t="s">
        <v>93</v>
      </c>
      <c r="G4" s="24" t="s">
        <v>94</v>
      </c>
      <c r="H4" s="24" t="s">
        <v>95</v>
      </c>
      <c r="I4" s="92" t="s">
        <v>96</v>
      </c>
      <c r="J4" s="24" t="s">
        <v>97</v>
      </c>
      <c r="K4" s="24" t="s">
        <v>98</v>
      </c>
    </row>
    <row r="5" spans="1:11" ht="12.75">
      <c r="A5" s="22" t="s">
        <v>81</v>
      </c>
      <c r="B5" s="21" t="s">
        <v>79</v>
      </c>
      <c r="C5" s="21" t="s">
        <v>79</v>
      </c>
      <c r="F5" s="33"/>
      <c r="G5" s="24"/>
      <c r="H5" s="24"/>
      <c r="I5" s="92"/>
      <c r="J5" s="24"/>
      <c r="K5" s="24"/>
    </row>
    <row r="6" spans="1:12" ht="12.75">
      <c r="A6" t="s">
        <v>82</v>
      </c>
      <c r="B6" s="21">
        <v>25.88</v>
      </c>
      <c r="C6" s="21">
        <v>25.88</v>
      </c>
      <c r="D6">
        <v>40</v>
      </c>
      <c r="E6" s="21">
        <f>+D6*C6*52</f>
        <v>53830.4</v>
      </c>
      <c r="F6" s="30">
        <f aca="true" t="shared" si="0" ref="F6:F15">+E6*0.0765</f>
        <v>4118.0256</v>
      </c>
      <c r="G6" s="25">
        <f aca="true" t="shared" si="1" ref="G6:G11">9000*0.015</f>
        <v>135</v>
      </c>
      <c r="H6" s="25">
        <f>E6*0.013</f>
        <v>699.7952</v>
      </c>
      <c r="I6" s="25">
        <v>381.48</v>
      </c>
      <c r="J6" s="25">
        <f>E6*3%</f>
        <v>1614.912</v>
      </c>
      <c r="K6" s="25">
        <f>E6*3%</f>
        <v>1614.912</v>
      </c>
      <c r="L6" s="21">
        <f aca="true" t="shared" si="2" ref="L6:L19">SUM(F6:K6)</f>
        <v>8564.1248</v>
      </c>
    </row>
    <row r="7" spans="1:12" ht="12.75">
      <c r="A7" t="s">
        <v>83</v>
      </c>
      <c r="B7" s="21">
        <v>22.35</v>
      </c>
      <c r="C7" s="21">
        <v>22.35</v>
      </c>
      <c r="D7">
        <v>40</v>
      </c>
      <c r="E7" s="21">
        <f>+D7*C7*52</f>
        <v>46488</v>
      </c>
      <c r="F7" s="30">
        <f t="shared" si="0"/>
        <v>3556.332</v>
      </c>
      <c r="G7" s="25">
        <f t="shared" si="1"/>
        <v>135</v>
      </c>
      <c r="H7" s="25">
        <f aca="true" t="shared" si="3" ref="H7:H15">E7*0.013</f>
        <v>604.3439999999999</v>
      </c>
      <c r="I7" s="25">
        <v>381.48</v>
      </c>
      <c r="J7" s="25">
        <f>E7*3%</f>
        <v>1394.6399999999999</v>
      </c>
      <c r="K7" s="25">
        <f>E7*3%</f>
        <v>1394.6399999999999</v>
      </c>
      <c r="L7" s="21">
        <f t="shared" si="2"/>
        <v>7466.435999999998</v>
      </c>
    </row>
    <row r="8" spans="1:12" ht="12.75">
      <c r="A8" t="s">
        <v>159</v>
      </c>
      <c r="B8" s="21">
        <v>12.73</v>
      </c>
      <c r="C8" s="21">
        <v>13.73</v>
      </c>
      <c r="D8">
        <v>40</v>
      </c>
      <c r="E8" s="21">
        <f>+D8*C8*52</f>
        <v>28558.4</v>
      </c>
      <c r="F8" s="30">
        <f>+E8*0.0765</f>
        <v>2184.7176</v>
      </c>
      <c r="G8" s="25">
        <f t="shared" si="1"/>
        <v>135</v>
      </c>
      <c r="H8" s="25">
        <f>E8*0.013</f>
        <v>371.2592</v>
      </c>
      <c r="I8" s="25">
        <v>381.48</v>
      </c>
      <c r="J8" s="25">
        <f>E8*3%</f>
        <v>856.7520000000001</v>
      </c>
      <c r="K8" s="25">
        <f>E8*3%</f>
        <v>856.7520000000001</v>
      </c>
      <c r="L8" s="21">
        <f t="shared" si="2"/>
        <v>4785.9608</v>
      </c>
    </row>
    <row r="9" spans="1:12" ht="12.75">
      <c r="A9" t="s">
        <v>173</v>
      </c>
      <c r="B9" s="21">
        <v>12.36</v>
      </c>
      <c r="C9" s="21">
        <v>13.36</v>
      </c>
      <c r="D9">
        <v>35</v>
      </c>
      <c r="E9" s="21">
        <f>+D9*C9*43</f>
        <v>20106.8</v>
      </c>
      <c r="F9" s="30">
        <f>+E9*0.0765</f>
        <v>1538.1702</v>
      </c>
      <c r="G9" s="25">
        <f t="shared" si="1"/>
        <v>135</v>
      </c>
      <c r="H9" s="25">
        <f>E9*0.013</f>
        <v>261.3884</v>
      </c>
      <c r="I9" s="25">
        <v>381.48</v>
      </c>
      <c r="J9" s="25">
        <f>E9*3%</f>
        <v>603.204</v>
      </c>
      <c r="K9" s="25">
        <f>E9*3%</f>
        <v>603.204</v>
      </c>
      <c r="L9" s="21">
        <f t="shared" si="2"/>
        <v>3522.4465999999993</v>
      </c>
    </row>
    <row r="10" spans="1:12" ht="12.75">
      <c r="A10" t="s">
        <v>181</v>
      </c>
      <c r="B10" s="21">
        <v>9</v>
      </c>
      <c r="C10" s="21">
        <v>10</v>
      </c>
      <c r="D10">
        <v>40</v>
      </c>
      <c r="E10" s="21">
        <f aca="true" t="shared" si="4" ref="E10:E15">+D10*C10*43</f>
        <v>17200</v>
      </c>
      <c r="F10" s="30">
        <f>+E10*0.0765</f>
        <v>1315.8</v>
      </c>
      <c r="G10" s="25">
        <f t="shared" si="1"/>
        <v>135</v>
      </c>
      <c r="H10" s="25">
        <f>E10*0.013</f>
        <v>223.6</v>
      </c>
      <c r="I10" s="25">
        <v>381.48</v>
      </c>
      <c r="J10" s="25">
        <f>E10*3%</f>
        <v>516</v>
      </c>
      <c r="K10" s="25">
        <f>E10*3%</f>
        <v>516</v>
      </c>
      <c r="L10" s="21">
        <f t="shared" si="2"/>
        <v>3087.88</v>
      </c>
    </row>
    <row r="11" spans="1:12" ht="12.75">
      <c r="A11" t="s">
        <v>154</v>
      </c>
      <c r="B11" s="21">
        <v>11.65</v>
      </c>
      <c r="C11" s="21">
        <v>12.65</v>
      </c>
      <c r="D11">
        <v>29</v>
      </c>
      <c r="E11" s="21">
        <f t="shared" si="4"/>
        <v>15774.550000000001</v>
      </c>
      <c r="F11" s="30">
        <f t="shared" si="0"/>
        <v>1206.753075</v>
      </c>
      <c r="G11" s="25">
        <f t="shared" si="1"/>
        <v>135</v>
      </c>
      <c r="H11" s="25">
        <f t="shared" si="3"/>
        <v>205.06915</v>
      </c>
      <c r="I11" s="27"/>
      <c r="J11" s="27"/>
      <c r="K11" s="27"/>
      <c r="L11" s="21">
        <f t="shared" si="2"/>
        <v>1546.8222250000001</v>
      </c>
    </row>
    <row r="12" spans="1:12" ht="12.75">
      <c r="A12" t="s">
        <v>198</v>
      </c>
      <c r="B12" s="21">
        <v>9</v>
      </c>
      <c r="C12" s="21">
        <v>10</v>
      </c>
      <c r="D12">
        <v>29</v>
      </c>
      <c r="E12" s="21">
        <f>+D12*C12*52</f>
        <v>15080</v>
      </c>
      <c r="F12" s="30">
        <f t="shared" si="0"/>
        <v>1153.62</v>
      </c>
      <c r="G12" s="25">
        <v>135</v>
      </c>
      <c r="H12" s="25">
        <f t="shared" si="3"/>
        <v>196.04</v>
      </c>
      <c r="I12" s="27"/>
      <c r="J12" s="27"/>
      <c r="K12" s="27"/>
      <c r="L12" s="21">
        <f t="shared" si="2"/>
        <v>1484.6599999999999</v>
      </c>
    </row>
    <row r="13" spans="1:12" ht="12.75">
      <c r="A13" t="s">
        <v>189</v>
      </c>
      <c r="B13" s="21">
        <v>9</v>
      </c>
      <c r="C13" s="21">
        <v>10</v>
      </c>
      <c r="D13">
        <v>29</v>
      </c>
      <c r="E13" s="21">
        <f t="shared" si="4"/>
        <v>12470</v>
      </c>
      <c r="F13" s="30">
        <f t="shared" si="0"/>
        <v>953.9549999999999</v>
      </c>
      <c r="G13" s="25">
        <v>135</v>
      </c>
      <c r="H13" s="25">
        <f t="shared" si="3"/>
        <v>162.10999999999999</v>
      </c>
      <c r="I13" s="27"/>
      <c r="J13" s="27"/>
      <c r="K13" s="27"/>
      <c r="L13" s="21">
        <f t="shared" si="2"/>
        <v>1251.0649999999998</v>
      </c>
    </row>
    <row r="14" spans="1:12" ht="12.75">
      <c r="A14" t="s">
        <v>177</v>
      </c>
      <c r="B14" s="21">
        <v>8.57</v>
      </c>
      <c r="C14" s="21">
        <v>9.57</v>
      </c>
      <c r="D14">
        <v>39</v>
      </c>
      <c r="E14" s="21">
        <f t="shared" si="4"/>
        <v>16048.890000000001</v>
      </c>
      <c r="F14" s="30">
        <f t="shared" si="0"/>
        <v>1227.7400850000001</v>
      </c>
      <c r="G14" s="25">
        <f>9000*0.015</f>
        <v>135</v>
      </c>
      <c r="H14" s="25">
        <f t="shared" si="3"/>
        <v>208.63557</v>
      </c>
      <c r="I14" s="27"/>
      <c r="J14" s="27"/>
      <c r="K14" s="27"/>
      <c r="L14" s="21">
        <f t="shared" si="2"/>
        <v>1571.375655</v>
      </c>
    </row>
    <row r="15" spans="1:12" ht="12.75">
      <c r="A15" s="103" t="s">
        <v>190</v>
      </c>
      <c r="B15" s="21">
        <v>7.96</v>
      </c>
      <c r="C15" s="21">
        <v>8.96</v>
      </c>
      <c r="D15">
        <v>18.5</v>
      </c>
      <c r="E15" s="21">
        <f t="shared" si="4"/>
        <v>7127.680000000001</v>
      </c>
      <c r="F15" s="176">
        <f t="shared" si="0"/>
        <v>545.2675200000001</v>
      </c>
      <c r="G15" s="177">
        <f>9000*0.015</f>
        <v>135</v>
      </c>
      <c r="H15" s="177">
        <f t="shared" si="3"/>
        <v>92.65984000000002</v>
      </c>
      <c r="I15" s="102"/>
      <c r="J15" s="102"/>
      <c r="K15" s="102"/>
      <c r="L15" s="21">
        <f>SUM(F15:K15)</f>
        <v>772.9273600000001</v>
      </c>
    </row>
    <row r="16" spans="1:12" ht="12.75">
      <c r="A16" s="103" t="s">
        <v>182</v>
      </c>
      <c r="B16" s="21">
        <v>8.34</v>
      </c>
      <c r="C16" s="21">
        <v>9.34</v>
      </c>
      <c r="E16" s="21">
        <f>+D16*C16*52</f>
        <v>0</v>
      </c>
      <c r="F16" s="178">
        <f>+E16*0.0765</f>
        <v>0</v>
      </c>
      <c r="G16" s="179"/>
      <c r="H16" s="179">
        <f>E16*0.013</f>
        <v>0</v>
      </c>
      <c r="I16" s="180"/>
      <c r="J16" s="180"/>
      <c r="K16" s="180"/>
      <c r="L16" s="21"/>
    </row>
    <row r="17" spans="1:12" ht="12.75">
      <c r="A17" t="s">
        <v>84</v>
      </c>
      <c r="D17">
        <f aca="true" t="shared" si="5" ref="D17:K17">SUM(D6:D16)</f>
        <v>339.5</v>
      </c>
      <c r="E17" s="34">
        <f t="shared" si="5"/>
        <v>232684.71999999997</v>
      </c>
      <c r="F17" s="101">
        <f t="shared" si="5"/>
        <v>17800.38108</v>
      </c>
      <c r="G17" s="101">
        <f t="shared" si="5"/>
        <v>1350</v>
      </c>
      <c r="H17" s="101">
        <f t="shared" si="5"/>
        <v>3024.90136</v>
      </c>
      <c r="I17" s="101">
        <f t="shared" si="5"/>
        <v>1907.4</v>
      </c>
      <c r="J17" s="101">
        <f t="shared" si="5"/>
        <v>4985.508</v>
      </c>
      <c r="K17" s="101">
        <f t="shared" si="5"/>
        <v>4985.508</v>
      </c>
      <c r="L17" s="21">
        <f>SUM(L6:L15)</f>
        <v>34053.69844</v>
      </c>
    </row>
    <row r="18" spans="6:12" ht="12.75">
      <c r="F18" s="100"/>
      <c r="G18" s="175"/>
      <c r="H18" s="175"/>
      <c r="I18" s="175"/>
      <c r="J18" s="181"/>
      <c r="K18" s="181"/>
      <c r="L18" s="21">
        <f t="shared" si="2"/>
        <v>0</v>
      </c>
    </row>
    <row r="19" spans="6:12" ht="12.75">
      <c r="F19" s="100"/>
      <c r="G19" s="175"/>
      <c r="H19" s="175"/>
      <c r="I19" s="175"/>
      <c r="J19" s="175"/>
      <c r="K19" s="175"/>
      <c r="L19" s="21">
        <f t="shared" si="2"/>
        <v>0</v>
      </c>
    </row>
    <row r="20" spans="1:12" ht="12.75">
      <c r="A20" s="22" t="s">
        <v>85</v>
      </c>
      <c r="F20" s="182"/>
      <c r="G20" s="175"/>
      <c r="H20" s="175"/>
      <c r="I20" s="175"/>
      <c r="J20" s="181"/>
      <c r="K20" s="181"/>
      <c r="L20" s="21"/>
    </row>
    <row r="21" spans="1:12" ht="12.75">
      <c r="A21" t="s">
        <v>86</v>
      </c>
      <c r="B21" s="21">
        <v>14.64</v>
      </c>
      <c r="C21" s="21">
        <v>15.64</v>
      </c>
      <c r="D21">
        <v>37</v>
      </c>
      <c r="E21" s="21">
        <f>+D21*C21*43</f>
        <v>24883.24</v>
      </c>
      <c r="F21" s="183">
        <f>+E21*0.0765</f>
        <v>1903.56786</v>
      </c>
      <c r="G21" s="184">
        <f>9000*0.015</f>
        <v>135</v>
      </c>
      <c r="H21" s="184">
        <f>E21*0.013</f>
        <v>323.48212</v>
      </c>
      <c r="I21" s="184">
        <v>381.48</v>
      </c>
      <c r="J21" s="184">
        <f>E21*3%</f>
        <v>746.4972</v>
      </c>
      <c r="K21" s="184">
        <f>E21*3%</f>
        <v>746.4972</v>
      </c>
      <c r="L21" s="21">
        <f aca="true" t="shared" si="6" ref="L21:L45">SUM(F21:K21)</f>
        <v>4236.52438</v>
      </c>
    </row>
    <row r="22" spans="1:12" ht="12.75">
      <c r="A22" t="s">
        <v>191</v>
      </c>
      <c r="B22" s="21">
        <v>10</v>
      </c>
      <c r="C22" s="21">
        <v>11</v>
      </c>
      <c r="D22">
        <v>29</v>
      </c>
      <c r="E22" s="21">
        <f>+D22*C22*43</f>
        <v>13717</v>
      </c>
      <c r="F22" s="30">
        <f>+E22*0.0765</f>
        <v>1049.3505</v>
      </c>
      <c r="G22" s="25">
        <f>9000*0.015</f>
        <v>135</v>
      </c>
      <c r="H22" s="25">
        <f>E22*0.013</f>
        <v>178.321</v>
      </c>
      <c r="I22" s="27"/>
      <c r="J22" s="27"/>
      <c r="K22" s="27"/>
      <c r="L22" s="21">
        <f t="shared" si="6"/>
        <v>1362.6715</v>
      </c>
    </row>
    <row r="23" spans="1:12" ht="12.75">
      <c r="A23" t="s">
        <v>192</v>
      </c>
      <c r="B23" s="21">
        <v>8</v>
      </c>
      <c r="C23" s="21">
        <v>9</v>
      </c>
      <c r="D23">
        <v>25</v>
      </c>
      <c r="E23" s="21">
        <f>+D23*C23*43</f>
        <v>9675</v>
      </c>
      <c r="F23" s="30">
        <f>+E23*0.0765</f>
        <v>740.1374999999999</v>
      </c>
      <c r="G23" s="25">
        <f>+E23*0.013</f>
        <v>125.77499999999999</v>
      </c>
      <c r="H23" s="25">
        <f>E23*0.013</f>
        <v>125.77499999999999</v>
      </c>
      <c r="I23" s="27"/>
      <c r="J23" s="28"/>
      <c r="K23" s="28"/>
      <c r="L23" s="21">
        <f>SUM(F23:K23)</f>
        <v>991.6874999999999</v>
      </c>
    </row>
    <row r="24" spans="1:12" ht="12.75">
      <c r="A24" t="s">
        <v>193</v>
      </c>
      <c r="B24" s="21">
        <v>8</v>
      </c>
      <c r="C24" s="21">
        <v>9</v>
      </c>
      <c r="D24">
        <v>25</v>
      </c>
      <c r="E24" s="21">
        <f>+D24*C24*43</f>
        <v>9675</v>
      </c>
      <c r="F24" s="30">
        <f>+E24*0.0765</f>
        <v>740.1374999999999</v>
      </c>
      <c r="G24" s="25">
        <f>9000*0.015</f>
        <v>135</v>
      </c>
      <c r="H24" s="25">
        <f>E24*0.013</f>
        <v>125.77499999999999</v>
      </c>
      <c r="I24" s="27"/>
      <c r="J24" s="27"/>
      <c r="K24" s="27"/>
      <c r="L24" s="21">
        <f t="shared" si="6"/>
        <v>1000.9124999999999</v>
      </c>
    </row>
    <row r="25" spans="1:12" ht="12.75">
      <c r="A25" s="103"/>
      <c r="F25" s="30"/>
      <c r="G25" s="25"/>
      <c r="H25" s="25"/>
      <c r="I25" s="27"/>
      <c r="J25" s="28"/>
      <c r="K25" s="28"/>
      <c r="L25" s="21">
        <f t="shared" si="6"/>
        <v>0</v>
      </c>
    </row>
    <row r="26" spans="6:12" ht="12.75">
      <c r="F26" s="30"/>
      <c r="G26" s="25"/>
      <c r="H26" s="25"/>
      <c r="I26" s="27"/>
      <c r="J26" s="28"/>
      <c r="K26" s="28"/>
      <c r="L26" s="21"/>
    </row>
    <row r="27" spans="1:12" ht="12.75">
      <c r="A27" t="s">
        <v>87</v>
      </c>
      <c r="D27">
        <f aca="true" t="shared" si="7" ref="D27:K27">SUM(D21:D25)</f>
        <v>116</v>
      </c>
      <c r="E27" s="34">
        <f t="shared" si="7"/>
        <v>57950.240000000005</v>
      </c>
      <c r="F27" s="34">
        <f t="shared" si="7"/>
        <v>4433.19336</v>
      </c>
      <c r="G27" s="27">
        <f t="shared" si="7"/>
        <v>530.775</v>
      </c>
      <c r="H27" s="27">
        <f t="shared" si="7"/>
        <v>753.35312</v>
      </c>
      <c r="I27" s="27">
        <f t="shared" si="7"/>
        <v>381.48</v>
      </c>
      <c r="J27" s="27">
        <f t="shared" si="7"/>
        <v>746.4972</v>
      </c>
      <c r="K27" s="27">
        <f t="shared" si="7"/>
        <v>746.4972</v>
      </c>
      <c r="L27" s="21">
        <f>SUM(L21:L26)</f>
        <v>7591.79588</v>
      </c>
    </row>
    <row r="28" spans="6:12" ht="12.75">
      <c r="F28" s="34"/>
      <c r="G28" s="27"/>
      <c r="H28" s="27"/>
      <c r="I28" s="27"/>
      <c r="J28" s="28"/>
      <c r="K28" s="28"/>
      <c r="L28" s="21">
        <f t="shared" si="6"/>
        <v>0</v>
      </c>
    </row>
    <row r="29" spans="1:12" ht="12.75">
      <c r="A29" s="22" t="s">
        <v>88</v>
      </c>
      <c r="F29" s="34"/>
      <c r="G29" s="27"/>
      <c r="H29" s="27"/>
      <c r="I29" s="27"/>
      <c r="J29" s="28"/>
      <c r="K29" s="28"/>
      <c r="L29" s="21">
        <f t="shared" si="6"/>
        <v>0</v>
      </c>
    </row>
    <row r="30" spans="1:12" ht="12.75">
      <c r="A30" t="s">
        <v>167</v>
      </c>
      <c r="B30" s="21">
        <v>13.39</v>
      </c>
      <c r="C30" s="21">
        <v>14.39</v>
      </c>
      <c r="D30">
        <v>40</v>
      </c>
      <c r="E30" s="21">
        <f>+D30*C30*52</f>
        <v>29931.2</v>
      </c>
      <c r="F30" s="30">
        <f>+E30*0.0765</f>
        <v>2289.7368</v>
      </c>
      <c r="G30" s="25">
        <f>9000*0.015</f>
        <v>135</v>
      </c>
      <c r="H30" s="25">
        <f>E30*0.013</f>
        <v>389.1056</v>
      </c>
      <c r="I30" s="184">
        <v>381.48</v>
      </c>
      <c r="J30" s="184">
        <f>E30*3%</f>
        <v>897.936</v>
      </c>
      <c r="K30" s="184">
        <f>E30*3%</f>
        <v>897.936</v>
      </c>
      <c r="L30" s="21">
        <f t="shared" si="6"/>
        <v>4991.1944</v>
      </c>
    </row>
    <row r="31" spans="4:12" ht="12.75">
      <c r="D31">
        <f>SUM(D30:D30)</f>
        <v>40</v>
      </c>
      <c r="E31" s="21">
        <f>SUM(E30:E30)</f>
        <v>29931.2</v>
      </c>
      <c r="F31" s="30">
        <f>SUM(F30:F30)</f>
        <v>2289.7368</v>
      </c>
      <c r="G31" s="25">
        <f>SUM(G30:G30)</f>
        <v>135</v>
      </c>
      <c r="H31" s="25">
        <f>E31*0.034</f>
        <v>1017.6608000000001</v>
      </c>
      <c r="I31" s="27">
        <f>SUM(I30:I30)</f>
        <v>381.48</v>
      </c>
      <c r="J31" s="27">
        <f>SUM(J30:J30)</f>
        <v>897.936</v>
      </c>
      <c r="K31" s="27">
        <f>SUM(K30:K30)</f>
        <v>897.936</v>
      </c>
      <c r="L31" s="21">
        <f>SUM(L30:L30)</f>
        <v>4991.1944</v>
      </c>
    </row>
    <row r="32" spans="6:12" ht="12.75">
      <c r="F32" s="34"/>
      <c r="G32" s="27"/>
      <c r="H32" s="27"/>
      <c r="I32" s="27"/>
      <c r="J32" s="28"/>
      <c r="K32" s="28"/>
      <c r="L32" s="21">
        <f t="shared" si="6"/>
        <v>0</v>
      </c>
    </row>
    <row r="33" spans="1:12" ht="12.75">
      <c r="A33" s="22" t="s">
        <v>168</v>
      </c>
      <c r="F33" s="34"/>
      <c r="G33" s="27"/>
      <c r="H33" s="27"/>
      <c r="I33" s="27"/>
      <c r="J33" s="28"/>
      <c r="K33" s="28"/>
      <c r="L33" s="21">
        <f t="shared" si="6"/>
        <v>0</v>
      </c>
    </row>
    <row r="34" spans="1:12" ht="12.75">
      <c r="A34" s="103" t="s">
        <v>171</v>
      </c>
      <c r="B34" s="21">
        <v>8.61</v>
      </c>
      <c r="C34" s="21">
        <v>9.61</v>
      </c>
      <c r="D34">
        <v>5</v>
      </c>
      <c r="E34" s="21">
        <f>+D34*C34*43</f>
        <v>2066.15</v>
      </c>
      <c r="F34" s="30">
        <f>+E34*0.0765</f>
        <v>158.060475</v>
      </c>
      <c r="G34" s="25">
        <f>+E34*0.013</f>
        <v>26.85995</v>
      </c>
      <c r="H34" s="25">
        <f>E34*0.013</f>
        <v>26.85995</v>
      </c>
      <c r="I34" s="27"/>
      <c r="J34" s="28"/>
      <c r="K34" s="27"/>
      <c r="L34" s="21">
        <f t="shared" si="6"/>
        <v>211.780375</v>
      </c>
    </row>
    <row r="35" spans="5:12" ht="12.75">
      <c r="E35" s="21">
        <f>+D35*C35*52</f>
        <v>0</v>
      </c>
      <c r="F35" s="30">
        <f>+E35*0.0765</f>
        <v>0</v>
      </c>
      <c r="G35" s="25">
        <f>+E35*0.033</f>
        <v>0</v>
      </c>
      <c r="H35" s="25"/>
      <c r="I35" s="27"/>
      <c r="J35" s="28"/>
      <c r="K35" s="27"/>
      <c r="L35" s="21">
        <f t="shared" si="6"/>
        <v>0</v>
      </c>
    </row>
    <row r="36" spans="1:12" ht="12.75">
      <c r="A36" t="s">
        <v>89</v>
      </c>
      <c r="D36">
        <f>SUM(D34:D35)</f>
        <v>5</v>
      </c>
      <c r="E36" s="34">
        <f>SUM(E34:E35)</f>
        <v>2066.15</v>
      </c>
      <c r="F36" s="34">
        <f aca="true" t="shared" si="8" ref="F36:K36">SUM(F34:F35)</f>
        <v>158.060475</v>
      </c>
      <c r="G36" s="27">
        <f t="shared" si="8"/>
        <v>26.85995</v>
      </c>
      <c r="H36" s="27">
        <f t="shared" si="8"/>
        <v>26.85995</v>
      </c>
      <c r="I36" s="27">
        <f t="shared" si="8"/>
        <v>0</v>
      </c>
      <c r="J36" s="27">
        <f t="shared" si="8"/>
        <v>0</v>
      </c>
      <c r="K36" s="27">
        <f t="shared" si="8"/>
        <v>0</v>
      </c>
      <c r="L36" s="21">
        <f t="shared" si="6"/>
        <v>211.780375</v>
      </c>
    </row>
    <row r="37" spans="6:12" ht="12.75">
      <c r="F37" s="34"/>
      <c r="G37" s="27"/>
      <c r="H37" s="27"/>
      <c r="I37" s="27"/>
      <c r="J37" s="28"/>
      <c r="K37" s="28"/>
      <c r="L37" s="21">
        <f t="shared" si="6"/>
        <v>0</v>
      </c>
    </row>
    <row r="38" spans="1:12" ht="12.75">
      <c r="A38" s="22" t="s">
        <v>90</v>
      </c>
      <c r="F38" s="34"/>
      <c r="G38" s="27"/>
      <c r="H38" s="27"/>
      <c r="I38" s="27"/>
      <c r="J38" s="28"/>
      <c r="K38" s="28"/>
      <c r="L38" s="21">
        <f t="shared" si="6"/>
        <v>0</v>
      </c>
    </row>
    <row r="39" spans="1:12" ht="12.75">
      <c r="A39" t="s">
        <v>178</v>
      </c>
      <c r="B39" s="21">
        <v>16.45</v>
      </c>
      <c r="C39" s="21">
        <v>17.45</v>
      </c>
      <c r="D39">
        <v>40</v>
      </c>
      <c r="E39" s="21">
        <f>+D39*C39*52</f>
        <v>36296</v>
      </c>
      <c r="F39" s="30">
        <f aca="true" t="shared" si="9" ref="F39:F45">+E39*0.0765</f>
        <v>2776.644</v>
      </c>
      <c r="G39" s="25">
        <f>9000*0.015</f>
        <v>135</v>
      </c>
      <c r="H39" s="25">
        <f aca="true" t="shared" si="10" ref="H39:H45">E39*0.013</f>
        <v>471.84799999999996</v>
      </c>
      <c r="I39" s="25">
        <v>381.48</v>
      </c>
      <c r="J39" s="25">
        <f>E39*3%</f>
        <v>1088.8799999999999</v>
      </c>
      <c r="K39" s="25">
        <f>E39*3%</f>
        <v>1088.8799999999999</v>
      </c>
      <c r="L39" s="21">
        <f t="shared" si="6"/>
        <v>5942.732</v>
      </c>
    </row>
    <row r="40" spans="1:12" ht="12.75">
      <c r="A40" s="103" t="s">
        <v>198</v>
      </c>
      <c r="B40" s="21">
        <v>10</v>
      </c>
      <c r="C40" s="21">
        <v>11</v>
      </c>
      <c r="D40">
        <v>40</v>
      </c>
      <c r="E40" s="21">
        <f aca="true" t="shared" si="11" ref="E40:E45">+D40*C40*43</f>
        <v>18920</v>
      </c>
      <c r="F40" s="30">
        <f>+E40*0.0765</f>
        <v>1447.3799999999999</v>
      </c>
      <c r="G40" s="25">
        <v>0</v>
      </c>
      <c r="H40" s="25">
        <f>E40*0.013</f>
        <v>245.95999999999998</v>
      </c>
      <c r="I40" s="25">
        <v>381.48</v>
      </c>
      <c r="J40" s="25">
        <f>E40*3%</f>
        <v>567.6</v>
      </c>
      <c r="K40" s="25">
        <f>E40*3%</f>
        <v>567.6</v>
      </c>
      <c r="L40" s="21">
        <f t="shared" si="6"/>
        <v>3210.0199999999995</v>
      </c>
    </row>
    <row r="41" spans="1:12" ht="12.75">
      <c r="A41" s="103" t="s">
        <v>199</v>
      </c>
      <c r="B41" s="21">
        <v>8.5</v>
      </c>
      <c r="C41" s="21">
        <v>9.5</v>
      </c>
      <c r="D41">
        <v>16</v>
      </c>
      <c r="E41" s="21">
        <f t="shared" si="11"/>
        <v>6536</v>
      </c>
      <c r="F41" s="30">
        <f t="shared" si="9"/>
        <v>500.00399999999996</v>
      </c>
      <c r="G41" s="25">
        <f>9000*0.015</f>
        <v>135</v>
      </c>
      <c r="H41" s="25">
        <f t="shared" si="10"/>
        <v>84.96799999999999</v>
      </c>
      <c r="I41" s="27"/>
      <c r="J41" s="28"/>
      <c r="K41" s="28"/>
      <c r="L41" s="21">
        <f t="shared" si="6"/>
        <v>719.9719999999999</v>
      </c>
    </row>
    <row r="42" spans="1:13" ht="12.75">
      <c r="A42" s="103" t="s">
        <v>206</v>
      </c>
      <c r="B42" s="21">
        <v>8</v>
      </c>
      <c r="C42" s="21">
        <v>9</v>
      </c>
      <c r="D42">
        <v>29</v>
      </c>
      <c r="E42" s="21">
        <f t="shared" si="11"/>
        <v>11223</v>
      </c>
      <c r="F42" s="30">
        <f t="shared" si="9"/>
        <v>858.5595</v>
      </c>
      <c r="G42" s="25">
        <f>+E42*0.013</f>
        <v>145.899</v>
      </c>
      <c r="H42" s="25">
        <f t="shared" si="10"/>
        <v>145.899</v>
      </c>
      <c r="I42" s="27"/>
      <c r="J42" s="27"/>
      <c r="K42" s="27"/>
      <c r="L42" s="21">
        <f t="shared" si="6"/>
        <v>1150.3575</v>
      </c>
      <c r="M42" s="21">
        <v>387078.2564554603</v>
      </c>
    </row>
    <row r="43" spans="1:13" ht="12.75">
      <c r="A43" s="103" t="s">
        <v>180</v>
      </c>
      <c r="B43" s="21">
        <v>9</v>
      </c>
      <c r="C43" s="21">
        <v>10</v>
      </c>
      <c r="D43">
        <v>16</v>
      </c>
      <c r="E43" s="21">
        <f t="shared" si="11"/>
        <v>6880</v>
      </c>
      <c r="F43" s="30">
        <f t="shared" si="9"/>
        <v>526.3199999999999</v>
      </c>
      <c r="G43" s="25">
        <f>+E43*0.013</f>
        <v>89.44</v>
      </c>
      <c r="H43" s="25">
        <f t="shared" si="10"/>
        <v>89.44</v>
      </c>
      <c r="I43" s="27"/>
      <c r="J43" s="28"/>
      <c r="K43" s="28"/>
      <c r="L43" s="21">
        <f t="shared" si="6"/>
        <v>705.2</v>
      </c>
      <c r="M43" s="21"/>
    </row>
    <row r="44" spans="1:13" ht="12.75">
      <c r="A44" s="103" t="s">
        <v>195</v>
      </c>
      <c r="B44" s="21">
        <v>8.5</v>
      </c>
      <c r="C44" s="21">
        <v>9.5</v>
      </c>
      <c r="D44">
        <v>15</v>
      </c>
      <c r="E44" s="21">
        <f t="shared" si="11"/>
        <v>6127.5</v>
      </c>
      <c r="F44" s="30">
        <f t="shared" si="9"/>
        <v>468.75374999999997</v>
      </c>
      <c r="G44" s="25">
        <f>+E44*0.013</f>
        <v>79.6575</v>
      </c>
      <c r="H44" s="25">
        <f t="shared" si="10"/>
        <v>79.6575</v>
      </c>
      <c r="I44" s="27"/>
      <c r="J44" s="27"/>
      <c r="K44" s="27"/>
      <c r="L44" s="21">
        <f t="shared" si="6"/>
        <v>628.06875</v>
      </c>
      <c r="M44" s="21"/>
    </row>
    <row r="45" spans="1:13" ht="12.75">
      <c r="A45" t="s">
        <v>197</v>
      </c>
      <c r="B45" s="21">
        <v>8.5</v>
      </c>
      <c r="C45" s="21">
        <v>9.5</v>
      </c>
      <c r="D45">
        <v>29</v>
      </c>
      <c r="E45" s="21">
        <f t="shared" si="11"/>
        <v>11846.5</v>
      </c>
      <c r="F45" s="30">
        <f t="shared" si="9"/>
        <v>906.25725</v>
      </c>
      <c r="G45" s="25">
        <f>9000*0.015</f>
        <v>135</v>
      </c>
      <c r="H45" s="25">
        <f t="shared" si="10"/>
        <v>154.00449999999998</v>
      </c>
      <c r="I45" s="102"/>
      <c r="J45" s="102"/>
      <c r="K45" s="102"/>
      <c r="L45" s="21">
        <f t="shared" si="6"/>
        <v>1195.2617500000001</v>
      </c>
      <c r="M45" s="21"/>
    </row>
    <row r="46" spans="1:13" ht="15.75" thickBot="1">
      <c r="A46" t="s">
        <v>89</v>
      </c>
      <c r="D46">
        <f aca="true" t="shared" si="12" ref="D46:L46">SUM(D39:D45)</f>
        <v>185</v>
      </c>
      <c r="E46" s="35">
        <f t="shared" si="12"/>
        <v>97829</v>
      </c>
      <c r="F46" s="35">
        <f t="shared" si="12"/>
        <v>7483.918499999999</v>
      </c>
      <c r="G46" s="35">
        <f t="shared" si="12"/>
        <v>719.9965</v>
      </c>
      <c r="H46" s="35">
        <f t="shared" si="12"/>
        <v>1271.777</v>
      </c>
      <c r="I46" s="35">
        <f t="shared" si="12"/>
        <v>762.96</v>
      </c>
      <c r="J46" s="35">
        <f t="shared" si="12"/>
        <v>1656.48</v>
      </c>
      <c r="K46" s="35">
        <f t="shared" si="12"/>
        <v>1656.48</v>
      </c>
      <c r="L46" s="21">
        <f t="shared" si="12"/>
        <v>13551.612000000001</v>
      </c>
      <c r="M46" s="45"/>
    </row>
    <row r="47" spans="1:13" s="22" customFormat="1" ht="13.5" thickBot="1">
      <c r="A47" s="22" t="s">
        <v>91</v>
      </c>
      <c r="B47" s="60"/>
      <c r="C47" s="60"/>
      <c r="D47" s="95">
        <f aca="true" t="shared" si="13" ref="D47:L47">+D17+D27+D31+D36+D46</f>
        <v>685.5</v>
      </c>
      <c r="E47" s="185">
        <f t="shared" si="13"/>
        <v>420461.31</v>
      </c>
      <c r="F47" s="185">
        <f t="shared" si="13"/>
        <v>32165.290214999997</v>
      </c>
      <c r="G47" s="185">
        <f t="shared" si="13"/>
        <v>2762.63145</v>
      </c>
      <c r="H47" s="185">
        <f t="shared" si="13"/>
        <v>6094.552229999999</v>
      </c>
      <c r="I47" s="185">
        <f t="shared" si="13"/>
        <v>3433.32</v>
      </c>
      <c r="J47" s="185">
        <f t="shared" si="13"/>
        <v>8286.421199999999</v>
      </c>
      <c r="K47" s="185">
        <f t="shared" si="13"/>
        <v>8286.421199999999</v>
      </c>
      <c r="L47" s="60">
        <f t="shared" si="13"/>
        <v>60400.081095</v>
      </c>
      <c r="M47" s="60">
        <f>+L47+E47</f>
        <v>480861.39109499997</v>
      </c>
    </row>
    <row r="48" ht="13.5" thickTop="1"/>
    <row r="49" spans="1:13" s="93" customFormat="1" ht="13.5" thickBot="1">
      <c r="A49" s="22" t="s">
        <v>174</v>
      </c>
      <c r="D49" s="95">
        <v>660</v>
      </c>
      <c r="E49" s="96">
        <v>414877.9613999999</v>
      </c>
      <c r="F49" s="96">
        <v>31738.164047099996</v>
      </c>
      <c r="G49" s="96">
        <v>2881.6058334</v>
      </c>
      <c r="H49" s="96">
        <v>14105.8506876</v>
      </c>
      <c r="I49" s="96">
        <v>3135.04</v>
      </c>
      <c r="J49" s="96">
        <v>7631.987999999999</v>
      </c>
      <c r="K49" s="96">
        <v>7631.987999999999</v>
      </c>
      <c r="L49" s="93">
        <v>62299.77282960001</v>
      </c>
      <c r="M49" s="93">
        <v>431238.8992296</v>
      </c>
    </row>
    <row r="50" ht="13.5" thickTop="1"/>
    <row r="51" spans="1:12" s="22" customFormat="1" ht="15.75">
      <c r="A51" s="22" t="s">
        <v>166</v>
      </c>
      <c r="B51" s="60"/>
      <c r="C51" s="60"/>
      <c r="E51" s="107">
        <f>+E47-E49</f>
        <v>5583.348600000085</v>
      </c>
      <c r="F51" s="107"/>
      <c r="G51" s="107"/>
      <c r="H51" s="107"/>
      <c r="I51" s="108"/>
      <c r="J51" s="107"/>
      <c r="K51" s="107"/>
      <c r="L51" s="107"/>
    </row>
    <row r="53" s="93" customFormat="1" ht="15">
      <c r="E53" s="94"/>
    </row>
  </sheetData>
  <sheetProtection/>
  <printOptions/>
  <pageMargins left="0.75" right="0.75" top="0.25" bottom="0.25" header="0.5" footer="0.25"/>
  <pageSetup fitToHeight="1" fitToWidth="1" horizontalDpi="600" verticalDpi="600" orientation="portrait" r:id="rId1"/>
  <headerFooter alignWithMargins="0">
    <oddFooter>&amp;L&amp;B Confidential&amp;B&amp;C&amp;D&amp;RPage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4:L27"/>
  <sheetViews>
    <sheetView zoomScaleSheetLayoutView="50" zoomScalePageLayoutView="0" workbookViewId="0" topLeftCell="A1">
      <selection activeCell="I7" sqref="I7"/>
    </sheetView>
  </sheetViews>
  <sheetFormatPr defaultColWidth="9.140625" defaultRowHeight="12.75"/>
  <cols>
    <col min="1" max="1" width="19.7109375" style="0" bestFit="1" customWidth="1"/>
    <col min="2" max="3" width="12.7109375" style="0" bestFit="1" customWidth="1"/>
    <col min="4" max="4" width="8.00390625" style="36" bestFit="1" customWidth="1"/>
    <col min="5" max="5" width="14.7109375" style="0" bestFit="1" customWidth="1"/>
    <col min="6" max="6" width="12.28125" style="0" bestFit="1" customWidth="1"/>
    <col min="7" max="7" width="13.7109375" style="0" bestFit="1" customWidth="1"/>
    <col min="8" max="8" width="12.28125" style="0" bestFit="1" customWidth="1"/>
    <col min="9" max="9" width="10.421875" style="0" bestFit="1" customWidth="1"/>
    <col min="10" max="11" width="12.28125" style="0" bestFit="1" customWidth="1"/>
    <col min="12" max="12" width="12.7109375" style="0" bestFit="1" customWidth="1"/>
  </cols>
  <sheetData>
    <row r="4" spans="2:11" ht="12.75">
      <c r="B4" s="60" t="s">
        <v>179</v>
      </c>
      <c r="C4" s="60" t="s">
        <v>188</v>
      </c>
      <c r="D4" s="36" t="s">
        <v>92</v>
      </c>
      <c r="E4" s="23" t="s">
        <v>80</v>
      </c>
      <c r="F4" s="32" t="s">
        <v>93</v>
      </c>
      <c r="G4" s="24" t="s">
        <v>94</v>
      </c>
      <c r="H4" s="24" t="s">
        <v>95</v>
      </c>
      <c r="I4" s="24" t="s">
        <v>96</v>
      </c>
      <c r="J4" s="24" t="s">
        <v>97</v>
      </c>
      <c r="K4" s="24" t="s">
        <v>98</v>
      </c>
    </row>
    <row r="5" spans="1:12" ht="12.75">
      <c r="A5" s="22" t="s">
        <v>90</v>
      </c>
      <c r="B5" s="21"/>
      <c r="C5" s="21"/>
      <c r="D5"/>
      <c r="E5" s="21"/>
      <c r="F5" s="34"/>
      <c r="G5" s="27"/>
      <c r="H5" s="27"/>
      <c r="I5" s="27"/>
      <c r="J5" s="28"/>
      <c r="K5" s="28"/>
      <c r="L5" s="21">
        <f aca="true" t="shared" si="0" ref="L5:L10">SUM(F5:K5)</f>
        <v>0</v>
      </c>
    </row>
    <row r="6" spans="1:12" ht="12.75">
      <c r="A6" t="s">
        <v>178</v>
      </c>
      <c r="B6" s="21">
        <v>16.45</v>
      </c>
      <c r="C6" s="21">
        <f aca="true" t="shared" si="1" ref="C6:C12">+B6+2</f>
        <v>18.45</v>
      </c>
      <c r="D6">
        <v>40</v>
      </c>
      <c r="E6" s="21">
        <f aca="true" t="shared" si="2" ref="E6:E12">+D6*C6*52</f>
        <v>38376</v>
      </c>
      <c r="F6" s="30">
        <f aca="true" t="shared" si="3" ref="F6:F12">+E6*0.0765</f>
        <v>2935.764</v>
      </c>
      <c r="G6" s="25">
        <f>9000*0.015</f>
        <v>135</v>
      </c>
      <c r="H6" s="25">
        <f aca="true" t="shared" si="4" ref="H6:H12">E6*0.013</f>
        <v>498.888</v>
      </c>
      <c r="I6" s="25">
        <v>381.48</v>
      </c>
      <c r="J6" s="25">
        <f>E6*3%</f>
        <v>1151.28</v>
      </c>
      <c r="K6" s="25">
        <f>E6*3%</f>
        <v>1151.28</v>
      </c>
      <c r="L6" s="21">
        <f t="shared" si="0"/>
        <v>6253.692</v>
      </c>
    </row>
    <row r="7" spans="1:12" ht="12.75">
      <c r="A7" s="103" t="s">
        <v>198</v>
      </c>
      <c r="B7" s="21">
        <v>10</v>
      </c>
      <c r="C7" s="21">
        <f t="shared" si="1"/>
        <v>12</v>
      </c>
      <c r="D7">
        <v>40</v>
      </c>
      <c r="E7" s="21">
        <f>+D7*C7*52</f>
        <v>24960</v>
      </c>
      <c r="F7" s="30">
        <f>+E7*0.0765</f>
        <v>1909.44</v>
      </c>
      <c r="G7" s="25">
        <f>9000*0.015</f>
        <v>135</v>
      </c>
      <c r="H7" s="25">
        <f>E7*0.013</f>
        <v>324.47999999999996</v>
      </c>
      <c r="I7" s="25">
        <v>381.48</v>
      </c>
      <c r="J7" s="25">
        <f>E7*3%</f>
        <v>748.8</v>
      </c>
      <c r="K7" s="25">
        <f>E7*3%</f>
        <v>748.8</v>
      </c>
      <c r="L7" s="21"/>
    </row>
    <row r="8" spans="1:12" ht="12.75">
      <c r="A8" s="103" t="s">
        <v>199</v>
      </c>
      <c r="B8" s="21">
        <v>8.5</v>
      </c>
      <c r="C8" s="21">
        <f t="shared" si="1"/>
        <v>10.5</v>
      </c>
      <c r="D8">
        <v>16</v>
      </c>
      <c r="E8" s="21">
        <f t="shared" si="2"/>
        <v>8736</v>
      </c>
      <c r="F8" s="30">
        <f t="shared" si="3"/>
        <v>668.304</v>
      </c>
      <c r="G8" s="25">
        <f>9000*0.015</f>
        <v>135</v>
      </c>
      <c r="H8" s="25">
        <f t="shared" si="4"/>
        <v>113.568</v>
      </c>
      <c r="I8" s="27"/>
      <c r="J8" s="28"/>
      <c r="K8" s="28"/>
      <c r="L8" s="21">
        <f t="shared" si="0"/>
        <v>916.872</v>
      </c>
    </row>
    <row r="9" spans="1:12" ht="12.75">
      <c r="A9" s="103" t="s">
        <v>194</v>
      </c>
      <c r="B9" s="21">
        <v>8</v>
      </c>
      <c r="C9" s="21">
        <f t="shared" si="1"/>
        <v>10</v>
      </c>
      <c r="D9">
        <v>29</v>
      </c>
      <c r="E9" s="21">
        <f t="shared" si="2"/>
        <v>15080</v>
      </c>
      <c r="F9" s="30">
        <f t="shared" si="3"/>
        <v>1153.62</v>
      </c>
      <c r="G9" s="25">
        <f>+E9*0.013</f>
        <v>196.04</v>
      </c>
      <c r="H9" s="25">
        <f t="shared" si="4"/>
        <v>196.04</v>
      </c>
      <c r="I9" s="27"/>
      <c r="J9" s="27"/>
      <c r="K9" s="27"/>
      <c r="L9" s="21">
        <f t="shared" si="0"/>
        <v>1545.6999999999998</v>
      </c>
    </row>
    <row r="10" spans="1:12" ht="12.75">
      <c r="A10" s="103" t="s">
        <v>180</v>
      </c>
      <c r="B10" s="21">
        <v>9</v>
      </c>
      <c r="C10" s="21">
        <f t="shared" si="1"/>
        <v>11</v>
      </c>
      <c r="D10">
        <v>16</v>
      </c>
      <c r="E10" s="21">
        <f t="shared" si="2"/>
        <v>9152</v>
      </c>
      <c r="F10" s="30">
        <f t="shared" si="3"/>
        <v>700.128</v>
      </c>
      <c r="G10" s="25">
        <f>+E10*0.013</f>
        <v>118.976</v>
      </c>
      <c r="H10" s="25">
        <f t="shared" si="4"/>
        <v>118.976</v>
      </c>
      <c r="I10" s="27"/>
      <c r="J10" s="28"/>
      <c r="K10" s="28"/>
      <c r="L10" s="21">
        <f t="shared" si="0"/>
        <v>938.08</v>
      </c>
    </row>
    <row r="11" spans="1:12" ht="12.75">
      <c r="A11" s="103" t="s">
        <v>195</v>
      </c>
      <c r="B11" s="21">
        <v>8.5</v>
      </c>
      <c r="C11" s="21">
        <f t="shared" si="1"/>
        <v>10.5</v>
      </c>
      <c r="D11">
        <v>15</v>
      </c>
      <c r="E11" s="21">
        <f t="shared" si="2"/>
        <v>8190</v>
      </c>
      <c r="F11" s="30">
        <f t="shared" si="3"/>
        <v>626.535</v>
      </c>
      <c r="G11" s="25">
        <f>+E11*0.013</f>
        <v>106.47</v>
      </c>
      <c r="H11" s="25">
        <f t="shared" si="4"/>
        <v>106.47</v>
      </c>
      <c r="I11" s="27"/>
      <c r="J11" s="27"/>
      <c r="K11" s="27"/>
      <c r="L11" s="21"/>
    </row>
    <row r="12" spans="1:12" ht="12.75">
      <c r="A12" t="s">
        <v>197</v>
      </c>
      <c r="B12" s="21">
        <v>8.5</v>
      </c>
      <c r="C12" s="21">
        <f t="shared" si="1"/>
        <v>10.5</v>
      </c>
      <c r="D12">
        <v>29</v>
      </c>
      <c r="E12" s="21">
        <f t="shared" si="2"/>
        <v>15834</v>
      </c>
      <c r="F12" s="30">
        <f t="shared" si="3"/>
        <v>1211.301</v>
      </c>
      <c r="G12" s="25">
        <f>9000*0.015</f>
        <v>135</v>
      </c>
      <c r="H12" s="25">
        <f t="shared" si="4"/>
        <v>205.84199999999998</v>
      </c>
      <c r="I12" s="102"/>
      <c r="J12" s="102"/>
      <c r="K12" s="102"/>
      <c r="L12" s="21"/>
    </row>
    <row r="13" spans="1:12" ht="13.5" thickBot="1">
      <c r="A13" t="s">
        <v>89</v>
      </c>
      <c r="B13" s="21"/>
      <c r="C13" s="21"/>
      <c r="D13">
        <f>SUM(D6:D12)</f>
        <v>185</v>
      </c>
      <c r="E13" s="35">
        <f>SUM(E6:E12)</f>
        <v>120328</v>
      </c>
      <c r="F13" s="35">
        <f aca="true" t="shared" si="5" ref="F13:K13">SUM(F6:F10)</f>
        <v>7367.255999999999</v>
      </c>
      <c r="G13" s="29">
        <f t="shared" si="5"/>
        <v>720.016</v>
      </c>
      <c r="H13" s="29">
        <f t="shared" si="5"/>
        <v>1251.9519999999998</v>
      </c>
      <c r="I13" s="29">
        <f t="shared" si="5"/>
        <v>762.96</v>
      </c>
      <c r="J13" s="29">
        <f t="shared" si="5"/>
        <v>1900.08</v>
      </c>
      <c r="K13" s="29">
        <f t="shared" si="5"/>
        <v>1900.08</v>
      </c>
      <c r="L13" s="21">
        <f>SUM(L6:L10)</f>
        <v>9654.344</v>
      </c>
    </row>
    <row r="14" spans="2:11" ht="13.5" thickBot="1">
      <c r="B14" s="21"/>
      <c r="C14" s="21"/>
      <c r="D14"/>
      <c r="E14" s="35"/>
      <c r="F14" s="35"/>
      <c r="G14" s="29"/>
      <c r="H14" s="29"/>
      <c r="I14" s="29"/>
      <c r="J14" s="29"/>
      <c r="K14" s="29"/>
    </row>
    <row r="15" spans="2:11" ht="12.75">
      <c r="B15" s="21"/>
      <c r="C15" s="21"/>
      <c r="D15"/>
      <c r="E15" s="100"/>
      <c r="F15" s="101"/>
      <c r="G15" s="102"/>
      <c r="H15" s="102"/>
      <c r="I15" s="102"/>
      <c r="J15" s="102"/>
      <c r="K15" s="102"/>
    </row>
    <row r="16" spans="1:12" ht="12.75">
      <c r="A16" t="s">
        <v>82</v>
      </c>
      <c r="B16" s="21">
        <v>25.88</v>
      </c>
      <c r="C16" s="21">
        <v>25.88</v>
      </c>
      <c r="D16">
        <v>10</v>
      </c>
      <c r="E16" s="21">
        <f>+D16*C16*52</f>
        <v>13457.6</v>
      </c>
      <c r="F16" s="30">
        <f>+E16*0.0765</f>
        <v>1029.5064</v>
      </c>
      <c r="G16" s="25"/>
      <c r="H16" s="25">
        <f>E16*0.034</f>
        <v>457.55840000000006</v>
      </c>
      <c r="I16" s="26"/>
      <c r="J16" s="25">
        <f>E16*3%</f>
        <v>403.728</v>
      </c>
      <c r="K16" s="25">
        <f>E16*3%</f>
        <v>403.728</v>
      </c>
      <c r="L16" s="21">
        <f>SUM(F16:K16)</f>
        <v>2294.5208000000002</v>
      </c>
    </row>
    <row r="17" spans="1:12" ht="12.75">
      <c r="A17" t="s">
        <v>83</v>
      </c>
      <c r="B17" s="21">
        <v>22.35</v>
      </c>
      <c r="C17" s="21">
        <v>22.35</v>
      </c>
      <c r="D17">
        <v>5</v>
      </c>
      <c r="E17" s="21">
        <f>+D17*C17*52</f>
        <v>5811</v>
      </c>
      <c r="F17" s="30">
        <f>+E17*0.0765</f>
        <v>444.5415</v>
      </c>
      <c r="G17" s="25"/>
      <c r="H17" s="25">
        <f>E17*0.034</f>
        <v>197.574</v>
      </c>
      <c r="I17" s="26"/>
      <c r="J17" s="25">
        <f>E17*3%</f>
        <v>174.32999999999998</v>
      </c>
      <c r="K17" s="25">
        <f>E17*3%</f>
        <v>174.32999999999998</v>
      </c>
      <c r="L17" s="21">
        <f>SUM(F17:K17)</f>
        <v>990.7755</v>
      </c>
    </row>
    <row r="19" spans="1:11" ht="12.75">
      <c r="A19" t="s">
        <v>118</v>
      </c>
      <c r="E19" s="21">
        <f>+E14+E16+E17</f>
        <v>19268.6</v>
      </c>
      <c r="F19" s="21">
        <f aca="true" t="shared" si="6" ref="F19:K19">+F14+F16+F17</f>
        <v>1474.0479</v>
      </c>
      <c r="G19" s="21">
        <f t="shared" si="6"/>
        <v>0</v>
      </c>
      <c r="H19" s="21">
        <f t="shared" si="6"/>
        <v>655.1324000000001</v>
      </c>
      <c r="I19" s="21">
        <f t="shared" si="6"/>
        <v>0</v>
      </c>
      <c r="J19" s="21">
        <f t="shared" si="6"/>
        <v>578.058</v>
      </c>
      <c r="K19" s="21">
        <f t="shared" si="6"/>
        <v>578.058</v>
      </c>
    </row>
    <row r="20" spans="5:11" ht="12.75">
      <c r="E20" s="21">
        <f>+E19+E13</f>
        <v>139596.6</v>
      </c>
      <c r="F20" s="21">
        <f aca="true" t="shared" si="7" ref="F20:K20">+F19+F13</f>
        <v>8841.303899999999</v>
      </c>
      <c r="G20" s="21">
        <f t="shared" si="7"/>
        <v>720.016</v>
      </c>
      <c r="H20" s="21">
        <f t="shared" si="7"/>
        <v>1907.0843999999997</v>
      </c>
      <c r="I20" s="21">
        <f t="shared" si="7"/>
        <v>762.96</v>
      </c>
      <c r="J20" s="21">
        <f t="shared" si="7"/>
        <v>2478.138</v>
      </c>
      <c r="K20" s="21">
        <f t="shared" si="7"/>
        <v>2478.138</v>
      </c>
    </row>
    <row r="23" ht="12.75">
      <c r="E23" s="21"/>
    </row>
    <row r="24" ht="14.25">
      <c r="A24" s="3"/>
    </row>
    <row r="25" spans="1:5" ht="14.25">
      <c r="A25" s="3"/>
      <c r="E25" s="21"/>
    </row>
    <row r="26" ht="14.25">
      <c r="A26" s="3"/>
    </row>
    <row r="27" ht="14.25">
      <c r="A27" s="3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L22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0.00390625" style="0" bestFit="1" customWidth="1"/>
    <col min="2" max="3" width="12.421875" style="0" bestFit="1" customWidth="1"/>
    <col min="4" max="4" width="9.28125" style="36" customWidth="1"/>
    <col min="5" max="5" width="14.57421875" style="0" bestFit="1" customWidth="1"/>
    <col min="6" max="6" width="10.421875" style="0" bestFit="1" customWidth="1"/>
    <col min="7" max="7" width="13.57421875" style="0" bestFit="1" customWidth="1"/>
    <col min="8" max="8" width="11.421875" style="0" bestFit="1" customWidth="1"/>
    <col min="9" max="9" width="10.421875" style="0" bestFit="1" customWidth="1"/>
    <col min="10" max="10" width="10.28125" style="0" bestFit="1" customWidth="1"/>
    <col min="11" max="11" width="11.28125" style="0" bestFit="1" customWidth="1"/>
    <col min="12" max="12" width="11.421875" style="0" bestFit="1" customWidth="1"/>
  </cols>
  <sheetData>
    <row r="4" spans="2:11" ht="12.75">
      <c r="B4" s="60" t="s">
        <v>179</v>
      </c>
      <c r="C4" s="60" t="s">
        <v>188</v>
      </c>
      <c r="D4" s="36" t="s">
        <v>92</v>
      </c>
      <c r="E4" s="23" t="s">
        <v>80</v>
      </c>
      <c r="F4" s="32" t="s">
        <v>93</v>
      </c>
      <c r="G4" s="24" t="s">
        <v>94</v>
      </c>
      <c r="H4" s="24" t="s">
        <v>95</v>
      </c>
      <c r="I4" s="24" t="s">
        <v>96</v>
      </c>
      <c r="J4" s="24" t="s">
        <v>97</v>
      </c>
      <c r="K4" s="24" t="s">
        <v>98</v>
      </c>
    </row>
    <row r="5" spans="1:12" ht="12.75">
      <c r="A5" s="22" t="s">
        <v>85</v>
      </c>
      <c r="B5" s="21"/>
      <c r="C5" s="21"/>
      <c r="D5"/>
      <c r="E5" s="21"/>
      <c r="F5" s="182"/>
      <c r="G5" s="175"/>
      <c r="H5" s="175"/>
      <c r="I5" s="175"/>
      <c r="J5" s="181"/>
      <c r="K5" s="181"/>
      <c r="L5" s="21">
        <f aca="true" t="shared" si="0" ref="L5:L10">SUM(F5:K5)</f>
        <v>0</v>
      </c>
    </row>
    <row r="6" spans="1:12" ht="12.75">
      <c r="A6" t="s">
        <v>86</v>
      </c>
      <c r="B6" s="21">
        <v>14.64</v>
      </c>
      <c r="C6" s="21">
        <f>+B6+2</f>
        <v>16.64</v>
      </c>
      <c r="D6">
        <v>37</v>
      </c>
      <c r="E6" s="21">
        <f>+D6*C6*52</f>
        <v>32015.360000000004</v>
      </c>
      <c r="F6" s="183">
        <f>+E6*0.0765</f>
        <v>2449.17504</v>
      </c>
      <c r="G6" s="184">
        <f>9000*0.015</f>
        <v>135</v>
      </c>
      <c r="H6" s="184">
        <f>E6*0.013</f>
        <v>416.19968000000006</v>
      </c>
      <c r="I6" s="184">
        <v>381.48</v>
      </c>
      <c r="J6" s="184">
        <f>E6*3%</f>
        <v>960.4608000000001</v>
      </c>
      <c r="K6" s="184">
        <f>E6*3%</f>
        <v>960.4608000000001</v>
      </c>
      <c r="L6" s="21">
        <f t="shared" si="0"/>
        <v>5302.77632</v>
      </c>
    </row>
    <row r="7" spans="1:12" ht="12.75">
      <c r="A7" t="s">
        <v>191</v>
      </c>
      <c r="B7" s="21">
        <v>10</v>
      </c>
      <c r="C7" s="21">
        <f>+B7+2</f>
        <v>12</v>
      </c>
      <c r="D7">
        <v>29</v>
      </c>
      <c r="E7" s="21">
        <f>+D7*C7*52</f>
        <v>18096</v>
      </c>
      <c r="F7" s="30">
        <f>+E7*0.0765</f>
        <v>1384.344</v>
      </c>
      <c r="G7" s="25">
        <f>9000*0.015</f>
        <v>135</v>
      </c>
      <c r="H7" s="25">
        <f>E7*0.013</f>
        <v>235.248</v>
      </c>
      <c r="I7" s="27"/>
      <c r="J7" s="27"/>
      <c r="K7" s="27"/>
      <c r="L7" s="21">
        <f t="shared" si="0"/>
        <v>1754.592</v>
      </c>
    </row>
    <row r="8" spans="1:12" ht="12.75">
      <c r="A8" t="s">
        <v>192</v>
      </c>
      <c r="B8" s="21">
        <v>8</v>
      </c>
      <c r="C8" s="21">
        <f>+B8+2</f>
        <v>10</v>
      </c>
      <c r="D8">
        <v>25</v>
      </c>
      <c r="E8" s="21">
        <f>+D8*C8*52</f>
        <v>13000</v>
      </c>
      <c r="F8" s="30">
        <f>+E8*0.0765</f>
        <v>994.5</v>
      </c>
      <c r="G8" s="25">
        <f>9000*0.015</f>
        <v>135</v>
      </c>
      <c r="H8" s="25">
        <f>E8*0.013</f>
        <v>169</v>
      </c>
      <c r="I8" s="27"/>
      <c r="J8" s="28"/>
      <c r="K8" s="28"/>
      <c r="L8" s="21">
        <f>SUM(F8:K8)</f>
        <v>1298.5</v>
      </c>
    </row>
    <row r="9" spans="1:12" ht="12.75">
      <c r="A9" t="s">
        <v>193</v>
      </c>
      <c r="B9" s="21">
        <v>8</v>
      </c>
      <c r="C9" s="21">
        <f>+B9+2</f>
        <v>10</v>
      </c>
      <c r="D9">
        <v>25</v>
      </c>
      <c r="E9" s="21">
        <f>+D9*C9*52</f>
        <v>13000</v>
      </c>
      <c r="F9" s="30">
        <f>+E9*0.0765</f>
        <v>994.5</v>
      </c>
      <c r="G9" s="25">
        <f>9000*0.015</f>
        <v>135</v>
      </c>
      <c r="H9" s="25">
        <f>E9*0.013</f>
        <v>169</v>
      </c>
      <c r="I9" s="27"/>
      <c r="J9" s="27"/>
      <c r="K9" s="27"/>
      <c r="L9" s="21">
        <f t="shared" si="0"/>
        <v>1298.5</v>
      </c>
    </row>
    <row r="10" spans="1:12" ht="12.75">
      <c r="A10" s="103"/>
      <c r="B10" s="21"/>
      <c r="C10" s="21"/>
      <c r="D10"/>
      <c r="E10" s="21"/>
      <c r="F10" s="30"/>
      <c r="G10" s="25"/>
      <c r="H10" s="25"/>
      <c r="I10" s="27"/>
      <c r="J10" s="28"/>
      <c r="K10" s="28"/>
      <c r="L10" s="21">
        <f t="shared" si="0"/>
        <v>0</v>
      </c>
    </row>
    <row r="11" spans="2:12" ht="12.75">
      <c r="B11" s="21"/>
      <c r="C11" s="21"/>
      <c r="D11"/>
      <c r="E11" s="21"/>
      <c r="F11" s="30"/>
      <c r="G11" s="25"/>
      <c r="H11" s="25"/>
      <c r="I11" s="27"/>
      <c r="J11" s="28"/>
      <c r="K11" s="28"/>
      <c r="L11" s="21"/>
    </row>
    <row r="12" spans="1:12" ht="12.75">
      <c r="A12" t="s">
        <v>87</v>
      </c>
      <c r="B12" s="21"/>
      <c r="C12" s="21"/>
      <c r="D12">
        <f aca="true" t="shared" si="1" ref="D12:K12">SUM(D6:D10)</f>
        <v>116</v>
      </c>
      <c r="E12" s="34">
        <f t="shared" si="1"/>
        <v>76111.36</v>
      </c>
      <c r="F12" s="34">
        <f t="shared" si="1"/>
        <v>5822.51904</v>
      </c>
      <c r="G12" s="27">
        <f t="shared" si="1"/>
        <v>540</v>
      </c>
      <c r="H12" s="27">
        <f t="shared" si="1"/>
        <v>989.44768</v>
      </c>
      <c r="I12" s="27">
        <f t="shared" si="1"/>
        <v>381.48</v>
      </c>
      <c r="J12" s="27">
        <f t="shared" si="1"/>
        <v>960.4608000000001</v>
      </c>
      <c r="K12" s="27">
        <f t="shared" si="1"/>
        <v>960.4608000000001</v>
      </c>
      <c r="L12" s="21">
        <f>SUM(L6:L11)</f>
        <v>9654.36832</v>
      </c>
    </row>
    <row r="13" spans="2:12" ht="12.75">
      <c r="B13" s="21"/>
      <c r="C13" s="21"/>
      <c r="D13"/>
      <c r="E13" s="100"/>
      <c r="F13" s="34"/>
      <c r="G13" s="27"/>
      <c r="H13" s="27"/>
      <c r="I13" s="27"/>
      <c r="J13" s="27"/>
      <c r="K13" s="27"/>
      <c r="L13" s="21"/>
    </row>
    <row r="14" spans="1:12" ht="12.75">
      <c r="A14" t="s">
        <v>82</v>
      </c>
      <c r="B14" s="21">
        <v>25.88</v>
      </c>
      <c r="C14" s="21">
        <v>25.88</v>
      </c>
      <c r="D14">
        <v>5</v>
      </c>
      <c r="E14" s="21">
        <f>+D14*C14*52</f>
        <v>6728.8</v>
      </c>
      <c r="F14" s="30">
        <f>+E14*0.0765</f>
        <v>514.7532</v>
      </c>
      <c r="G14" s="25"/>
      <c r="H14" s="25">
        <f>E14*0.034</f>
        <v>228.77920000000003</v>
      </c>
      <c r="I14" s="26"/>
      <c r="J14" s="25">
        <f>E14*3%</f>
        <v>201.864</v>
      </c>
      <c r="K14" s="25">
        <f>E14*3%</f>
        <v>201.864</v>
      </c>
      <c r="L14" s="21">
        <f>SUM(F14:K14)</f>
        <v>1147.2604000000001</v>
      </c>
    </row>
    <row r="15" spans="1:12" ht="12.75">
      <c r="A15" t="s">
        <v>83</v>
      </c>
      <c r="B15" s="21">
        <v>22.35</v>
      </c>
      <c r="C15" s="21">
        <v>22.35</v>
      </c>
      <c r="D15">
        <v>10</v>
      </c>
      <c r="E15" s="21">
        <f>+D15*C15*52</f>
        <v>11622</v>
      </c>
      <c r="F15" s="30">
        <f>+E15*0.0765</f>
        <v>889.083</v>
      </c>
      <c r="G15" s="25"/>
      <c r="H15" s="25">
        <f>E15*0.034</f>
        <v>395.148</v>
      </c>
      <c r="I15" s="26"/>
      <c r="J15" s="25">
        <f>E15*3%</f>
        <v>348.65999999999997</v>
      </c>
      <c r="K15" s="25">
        <f>E15*3%</f>
        <v>348.65999999999997</v>
      </c>
      <c r="L15" s="21">
        <f>SUM(F15:K15)</f>
        <v>1981.551</v>
      </c>
    </row>
    <row r="17" spans="1:11" ht="12.75">
      <c r="A17" t="s">
        <v>119</v>
      </c>
      <c r="E17" s="21">
        <f aca="true" t="shared" si="2" ref="E17:K17">SUM(E11:E16)</f>
        <v>94462.16</v>
      </c>
      <c r="F17" s="21">
        <f t="shared" si="2"/>
        <v>7226.35524</v>
      </c>
      <c r="G17" s="21">
        <f t="shared" si="2"/>
        <v>540</v>
      </c>
      <c r="H17" s="21">
        <f t="shared" si="2"/>
        <v>1613.3748799999998</v>
      </c>
      <c r="I17" s="21">
        <f t="shared" si="2"/>
        <v>381.48</v>
      </c>
      <c r="J17" s="21">
        <f t="shared" si="2"/>
        <v>1510.9848000000002</v>
      </c>
      <c r="K17" s="21">
        <f t="shared" si="2"/>
        <v>1510.9848000000002</v>
      </c>
    </row>
    <row r="21" ht="12.75">
      <c r="A21" t="s">
        <v>120</v>
      </c>
    </row>
    <row r="22" ht="14.25">
      <c r="A22" s="3" t="s">
        <v>17</v>
      </c>
    </row>
  </sheetData>
  <sheetProtection/>
  <printOptions/>
  <pageMargins left="0.75" right="0.75" top="1" bottom="1" header="0.5" footer="0.5"/>
  <pageSetup horizontalDpi="600" verticalDpi="600" orientation="landscape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L28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23.7109375" style="0" bestFit="1" customWidth="1"/>
    <col min="2" max="3" width="12.421875" style="0" bestFit="1" customWidth="1"/>
    <col min="4" max="4" width="7.00390625" style="36" customWidth="1"/>
    <col min="5" max="5" width="14.57421875" style="0" bestFit="1" customWidth="1"/>
    <col min="6" max="6" width="11.28125" style="0" bestFit="1" customWidth="1"/>
    <col min="7" max="7" width="13.57421875" style="0" bestFit="1" customWidth="1"/>
    <col min="8" max="8" width="11.421875" style="0" bestFit="1" customWidth="1"/>
    <col min="9" max="10" width="10.28125" style="0" bestFit="1" customWidth="1"/>
    <col min="11" max="12" width="11.28125" style="0" bestFit="1" customWidth="1"/>
  </cols>
  <sheetData>
    <row r="5" spans="1:11" ht="12.75">
      <c r="A5" t="s">
        <v>78</v>
      </c>
      <c r="B5" s="60" t="s">
        <v>179</v>
      </c>
      <c r="C5" s="60" t="s">
        <v>188</v>
      </c>
      <c r="D5" t="s">
        <v>92</v>
      </c>
      <c r="E5" s="23" t="s">
        <v>80</v>
      </c>
      <c r="F5" s="32" t="s">
        <v>93</v>
      </c>
      <c r="G5" s="24" t="s">
        <v>94</v>
      </c>
      <c r="H5" s="24" t="s">
        <v>95</v>
      </c>
      <c r="I5" s="92" t="s">
        <v>96</v>
      </c>
      <c r="J5" s="24" t="s">
        <v>97</v>
      </c>
      <c r="K5" s="24" t="s">
        <v>98</v>
      </c>
    </row>
    <row r="6" spans="1:11" ht="12.75">
      <c r="A6" s="22" t="s">
        <v>81</v>
      </c>
      <c r="B6" s="21" t="s">
        <v>79</v>
      </c>
      <c r="C6" s="21" t="s">
        <v>79</v>
      </c>
      <c r="D6"/>
      <c r="E6" s="21"/>
      <c r="F6" s="33"/>
      <c r="G6" s="24"/>
      <c r="H6" s="24"/>
      <c r="I6" s="92"/>
      <c r="J6" s="24"/>
      <c r="K6" s="24"/>
    </row>
    <row r="7" spans="1:12" ht="12.75">
      <c r="A7" t="s">
        <v>82</v>
      </c>
      <c r="B7" s="21">
        <v>25.88</v>
      </c>
      <c r="C7" s="21">
        <v>25.88</v>
      </c>
      <c r="D7">
        <v>40</v>
      </c>
      <c r="E7" s="21">
        <f aca="true" t="shared" si="0" ref="E7:E15">+D7*C7*52</f>
        <v>53830.4</v>
      </c>
      <c r="F7" s="30">
        <f aca="true" t="shared" si="1" ref="F7:F16">+E7*0.0765</f>
        <v>4118.0256</v>
      </c>
      <c r="G7" s="25">
        <f aca="true" t="shared" si="2" ref="G7:G12">9000*0.015</f>
        <v>135</v>
      </c>
      <c r="H7" s="25">
        <f>E7*0.013</f>
        <v>699.7952</v>
      </c>
      <c r="I7" s="25">
        <v>391.88</v>
      </c>
      <c r="J7" s="25">
        <f>E7*3%</f>
        <v>1614.912</v>
      </c>
      <c r="K7" s="25">
        <f>E7*3%</f>
        <v>1614.912</v>
      </c>
      <c r="L7" s="21">
        <f aca="true" t="shared" si="3" ref="L7:L12">SUM(F7:K7)</f>
        <v>8574.5248</v>
      </c>
    </row>
    <row r="8" spans="1:12" ht="12.75">
      <c r="A8" t="s">
        <v>83</v>
      </c>
      <c r="B8" s="21">
        <v>22.35</v>
      </c>
      <c r="C8" s="21">
        <v>22.35</v>
      </c>
      <c r="D8">
        <v>40</v>
      </c>
      <c r="E8" s="21">
        <f t="shared" si="0"/>
        <v>46488</v>
      </c>
      <c r="F8" s="30">
        <f t="shared" si="1"/>
        <v>3556.332</v>
      </c>
      <c r="G8" s="25">
        <f t="shared" si="2"/>
        <v>135</v>
      </c>
      <c r="H8" s="25">
        <f aca="true" t="shared" si="4" ref="H8:H16">E8*0.013</f>
        <v>604.3439999999999</v>
      </c>
      <c r="I8" s="25">
        <v>391.88</v>
      </c>
      <c r="J8" s="25">
        <f>E8*3%</f>
        <v>1394.6399999999999</v>
      </c>
      <c r="K8" s="25">
        <f>E8*3%</f>
        <v>1394.6399999999999</v>
      </c>
      <c r="L8" s="21">
        <f t="shared" si="3"/>
        <v>7476.835999999999</v>
      </c>
    </row>
    <row r="9" spans="1:12" ht="12.75">
      <c r="A9" t="s">
        <v>159</v>
      </c>
      <c r="B9" s="21">
        <v>12.73</v>
      </c>
      <c r="C9" s="21">
        <f aca="true" t="shared" si="5" ref="C9:C17">+B9+2</f>
        <v>14.73</v>
      </c>
      <c r="D9">
        <v>40</v>
      </c>
      <c r="E9" s="21">
        <f>+D9*C9*52</f>
        <v>30638.4</v>
      </c>
      <c r="F9" s="30">
        <f>+E9*0.0765</f>
        <v>2343.8376000000003</v>
      </c>
      <c r="G9" s="25">
        <f t="shared" si="2"/>
        <v>135</v>
      </c>
      <c r="H9" s="25">
        <f>E9*0.013</f>
        <v>398.2992</v>
      </c>
      <c r="I9" s="25">
        <v>391.88</v>
      </c>
      <c r="J9" s="25">
        <f>E9*3%</f>
        <v>919.152</v>
      </c>
      <c r="K9" s="25">
        <f>E9*3%</f>
        <v>919.152</v>
      </c>
      <c r="L9" s="21">
        <f t="shared" si="3"/>
        <v>5107.3208</v>
      </c>
    </row>
    <row r="10" spans="1:12" ht="12.75">
      <c r="A10" t="s">
        <v>173</v>
      </c>
      <c r="B10" s="21">
        <v>12.36</v>
      </c>
      <c r="C10" s="21">
        <f t="shared" si="5"/>
        <v>14.36</v>
      </c>
      <c r="D10">
        <v>35</v>
      </c>
      <c r="E10" s="21">
        <f>+D10*C10*52</f>
        <v>26135.199999999997</v>
      </c>
      <c r="F10" s="30">
        <f>+E10*0.0765</f>
        <v>1999.3427999999997</v>
      </c>
      <c r="G10" s="25">
        <f t="shared" si="2"/>
        <v>135</v>
      </c>
      <c r="H10" s="25">
        <f>E10*0.013</f>
        <v>339.75759999999997</v>
      </c>
      <c r="I10" s="25">
        <v>391.88</v>
      </c>
      <c r="J10" s="25">
        <f>E10*3%</f>
        <v>784.0559999999999</v>
      </c>
      <c r="K10" s="25">
        <f>E10*3%</f>
        <v>784.0559999999999</v>
      </c>
      <c r="L10" s="21">
        <f t="shared" si="3"/>
        <v>4434.0923999999995</v>
      </c>
    </row>
    <row r="11" spans="1:12" ht="12.75">
      <c r="A11" t="s">
        <v>181</v>
      </c>
      <c r="B11" s="21">
        <v>9</v>
      </c>
      <c r="C11" s="21">
        <f t="shared" si="5"/>
        <v>11</v>
      </c>
      <c r="D11">
        <v>40</v>
      </c>
      <c r="E11" s="21">
        <f>+D11*C11*52</f>
        <v>22880</v>
      </c>
      <c r="F11" s="30">
        <f>+E11*0.0765</f>
        <v>1750.32</v>
      </c>
      <c r="G11" s="25">
        <f t="shared" si="2"/>
        <v>135</v>
      </c>
      <c r="H11" s="25">
        <f>E11*0.013</f>
        <v>297.44</v>
      </c>
      <c r="I11" s="25">
        <v>391.88</v>
      </c>
      <c r="J11" s="25">
        <f>E11*3%</f>
        <v>686.4</v>
      </c>
      <c r="K11" s="25">
        <f>E11*3%</f>
        <v>686.4</v>
      </c>
      <c r="L11" s="21">
        <f t="shared" si="3"/>
        <v>3947.44</v>
      </c>
    </row>
    <row r="12" spans="1:12" ht="12.75">
      <c r="A12" t="s">
        <v>154</v>
      </c>
      <c r="B12" s="21">
        <v>11.65</v>
      </c>
      <c r="C12" s="21">
        <f t="shared" si="5"/>
        <v>13.65</v>
      </c>
      <c r="D12">
        <v>29</v>
      </c>
      <c r="E12" s="21">
        <f>+D12*C12*52</f>
        <v>20584.2</v>
      </c>
      <c r="F12" s="30">
        <f t="shared" si="1"/>
        <v>1574.6913</v>
      </c>
      <c r="G12" s="25">
        <f t="shared" si="2"/>
        <v>135</v>
      </c>
      <c r="H12" s="25">
        <f t="shared" si="4"/>
        <v>267.5946</v>
      </c>
      <c r="I12" s="27"/>
      <c r="J12" s="27"/>
      <c r="K12" s="27"/>
      <c r="L12" s="21">
        <f t="shared" si="3"/>
        <v>1977.2858999999999</v>
      </c>
    </row>
    <row r="13" spans="1:12" ht="12.75">
      <c r="A13" t="s">
        <v>198</v>
      </c>
      <c r="B13" s="21">
        <v>9</v>
      </c>
      <c r="C13" s="21">
        <f t="shared" si="5"/>
        <v>11</v>
      </c>
      <c r="D13">
        <v>29</v>
      </c>
      <c r="E13" s="21">
        <f>+D13*C13*52</f>
        <v>16588</v>
      </c>
      <c r="F13" s="30">
        <f t="shared" si="1"/>
        <v>1268.982</v>
      </c>
      <c r="G13" s="25"/>
      <c r="H13" s="25">
        <f t="shared" si="4"/>
        <v>215.64399999999998</v>
      </c>
      <c r="I13" s="27"/>
      <c r="J13" s="27"/>
      <c r="K13" s="27"/>
      <c r="L13" s="21"/>
    </row>
    <row r="14" spans="1:12" ht="12.75">
      <c r="A14" t="s">
        <v>189</v>
      </c>
      <c r="B14" s="21">
        <v>9</v>
      </c>
      <c r="C14" s="21">
        <f t="shared" si="5"/>
        <v>11</v>
      </c>
      <c r="D14">
        <v>29</v>
      </c>
      <c r="E14" s="21">
        <f t="shared" si="0"/>
        <v>16588</v>
      </c>
      <c r="F14" s="30">
        <f t="shared" si="1"/>
        <v>1268.982</v>
      </c>
      <c r="G14" s="25">
        <f>+E14*0.013</f>
        <v>215.64399999999998</v>
      </c>
      <c r="H14" s="25">
        <f t="shared" si="4"/>
        <v>215.64399999999998</v>
      </c>
      <c r="I14" s="27"/>
      <c r="J14" s="27"/>
      <c r="K14" s="27"/>
      <c r="L14" s="21">
        <f>SUM(F14:K14)</f>
        <v>1700.27</v>
      </c>
    </row>
    <row r="15" spans="1:12" ht="12.75">
      <c r="A15" t="s">
        <v>177</v>
      </c>
      <c r="B15" s="21">
        <v>8.57</v>
      </c>
      <c r="C15" s="21">
        <f t="shared" si="5"/>
        <v>10.57</v>
      </c>
      <c r="D15">
        <v>39</v>
      </c>
      <c r="E15" s="21">
        <f t="shared" si="0"/>
        <v>21435.96</v>
      </c>
      <c r="F15" s="30">
        <f t="shared" si="1"/>
        <v>1639.8509399999998</v>
      </c>
      <c r="G15" s="25">
        <f>9000*0.015</f>
        <v>135</v>
      </c>
      <c r="H15" s="25">
        <f t="shared" si="4"/>
        <v>278.66747999999995</v>
      </c>
      <c r="I15" s="27"/>
      <c r="J15" s="27"/>
      <c r="K15" s="27"/>
      <c r="L15" s="21">
        <f>SUM(F15:K15)</f>
        <v>2053.51842</v>
      </c>
    </row>
    <row r="16" spans="1:12" ht="12.75">
      <c r="A16" s="103" t="s">
        <v>190</v>
      </c>
      <c r="B16" s="21">
        <v>7.96</v>
      </c>
      <c r="C16" s="21">
        <f t="shared" si="5"/>
        <v>9.96</v>
      </c>
      <c r="D16">
        <v>18.5</v>
      </c>
      <c r="E16" s="21">
        <f>+D16*C16*52</f>
        <v>9581.52</v>
      </c>
      <c r="F16" s="176">
        <f t="shared" si="1"/>
        <v>732.98628</v>
      </c>
      <c r="G16" s="177">
        <f>9000*0.015</f>
        <v>135</v>
      </c>
      <c r="H16" s="177">
        <f t="shared" si="4"/>
        <v>124.55976</v>
      </c>
      <c r="I16" s="102"/>
      <c r="J16" s="102"/>
      <c r="K16" s="102"/>
      <c r="L16" s="21">
        <f>SUM(F16:K16)</f>
        <v>992.54604</v>
      </c>
    </row>
    <row r="17" spans="1:12" ht="12.75">
      <c r="A17" s="103" t="s">
        <v>182</v>
      </c>
      <c r="B17" s="21">
        <v>8.34</v>
      </c>
      <c r="C17" s="21">
        <f t="shared" si="5"/>
        <v>10.34</v>
      </c>
      <c r="D17"/>
      <c r="E17" s="21">
        <f>+D17*C17*52</f>
        <v>0</v>
      </c>
      <c r="F17" s="178">
        <f>+E17*0.0765</f>
        <v>0</v>
      </c>
      <c r="G17" s="179">
        <f>9000*0.015</f>
        <v>135</v>
      </c>
      <c r="H17" s="179">
        <f>E17*0.013</f>
        <v>0</v>
      </c>
      <c r="I17" s="180"/>
      <c r="J17" s="180"/>
      <c r="K17" s="180"/>
      <c r="L17" s="21"/>
    </row>
    <row r="18" spans="1:12" ht="12.75">
      <c r="A18" t="s">
        <v>84</v>
      </c>
      <c r="B18" s="21"/>
      <c r="C18" s="21"/>
      <c r="D18">
        <f aca="true" t="shared" si="6" ref="D18:K18">SUM(D7:D17)</f>
        <v>339.5</v>
      </c>
      <c r="E18" s="34">
        <f t="shared" si="6"/>
        <v>264749.68</v>
      </c>
      <c r="F18" s="101">
        <f t="shared" si="6"/>
        <v>20253.350520000004</v>
      </c>
      <c r="G18" s="101">
        <f t="shared" si="6"/>
        <v>1430.644</v>
      </c>
      <c r="H18" s="101">
        <f t="shared" si="6"/>
        <v>3441.7458399999996</v>
      </c>
      <c r="I18" s="101">
        <f t="shared" si="6"/>
        <v>1959.4</v>
      </c>
      <c r="J18" s="101">
        <f t="shared" si="6"/>
        <v>5399.159999999999</v>
      </c>
      <c r="K18" s="101">
        <f t="shared" si="6"/>
        <v>5399.159999999999</v>
      </c>
      <c r="L18" s="21">
        <f>SUM(L7:L16)</f>
        <v>36263.83435999999</v>
      </c>
    </row>
    <row r="19" spans="1:12" ht="12.75">
      <c r="A19" s="22" t="s">
        <v>88</v>
      </c>
      <c r="B19" s="21"/>
      <c r="C19" s="21"/>
      <c r="D19"/>
      <c r="E19" s="21"/>
      <c r="F19" s="34"/>
      <c r="G19" s="27"/>
      <c r="H19" s="27"/>
      <c r="I19" s="27"/>
      <c r="J19" s="28"/>
      <c r="K19" s="28"/>
      <c r="L19" s="21">
        <f aca="true" t="shared" si="7" ref="L19:L26">SUM(F19:K19)</f>
        <v>0</v>
      </c>
    </row>
    <row r="20" spans="1:12" ht="12.75">
      <c r="A20" t="s">
        <v>167</v>
      </c>
      <c r="B20" s="21">
        <v>13.39</v>
      </c>
      <c r="C20" s="21">
        <f>+B20+2</f>
        <v>15.39</v>
      </c>
      <c r="D20">
        <v>40</v>
      </c>
      <c r="E20" s="21">
        <f>+D20*C20*52</f>
        <v>32011.2</v>
      </c>
      <c r="F20" s="30">
        <f>+E20*0.0765</f>
        <v>2448.8568</v>
      </c>
      <c r="G20" s="25">
        <f>9000*0.015</f>
        <v>135</v>
      </c>
      <c r="H20" s="25">
        <f>E20*0.013</f>
        <v>416.1456</v>
      </c>
      <c r="I20" s="184">
        <v>391.88</v>
      </c>
      <c r="J20" s="184">
        <f>E20*3%</f>
        <v>960.336</v>
      </c>
      <c r="K20" s="184">
        <f>E20*3%</f>
        <v>960.336</v>
      </c>
      <c r="L20" s="21">
        <f t="shared" si="7"/>
        <v>5312.5544</v>
      </c>
    </row>
    <row r="21" spans="2:12" ht="12.75">
      <c r="B21" s="21"/>
      <c r="C21" s="21"/>
      <c r="D21">
        <f>SUM(D20:D20)</f>
        <v>40</v>
      </c>
      <c r="E21" s="21">
        <f>SUM(E20:E20)</f>
        <v>32011.2</v>
      </c>
      <c r="F21" s="30">
        <f>SUM(F20:F20)</f>
        <v>2448.8568</v>
      </c>
      <c r="G21" s="25">
        <f>SUM(G20:G20)</f>
        <v>135</v>
      </c>
      <c r="H21" s="25">
        <f>E21*0.034</f>
        <v>1088.3808000000001</v>
      </c>
      <c r="I21" s="27">
        <f>SUM(I20:I20)</f>
        <v>391.88</v>
      </c>
      <c r="J21" s="27">
        <f>SUM(J20:J20)</f>
        <v>960.336</v>
      </c>
      <c r="K21" s="27">
        <f>SUM(K20:K20)</f>
        <v>960.336</v>
      </c>
      <c r="L21" s="21">
        <f>SUM(L20:L20)</f>
        <v>5312.5544</v>
      </c>
    </row>
    <row r="22" spans="2:12" ht="12.75">
      <c r="B22" s="21"/>
      <c r="C22" s="21"/>
      <c r="D22"/>
      <c r="E22" s="21"/>
      <c r="F22" s="34"/>
      <c r="G22" s="27"/>
      <c r="H22" s="27"/>
      <c r="I22" s="27"/>
      <c r="J22" s="28"/>
      <c r="K22" s="28"/>
      <c r="L22" s="21">
        <f t="shared" si="7"/>
        <v>0</v>
      </c>
    </row>
    <row r="23" spans="1:12" ht="12.75">
      <c r="A23" s="22" t="s">
        <v>168</v>
      </c>
      <c r="B23" s="21"/>
      <c r="C23" s="21"/>
      <c r="D23"/>
      <c r="E23" s="21"/>
      <c r="F23" s="34"/>
      <c r="G23" s="27"/>
      <c r="H23" s="27"/>
      <c r="I23" s="27"/>
      <c r="J23" s="28"/>
      <c r="K23" s="28"/>
      <c r="L23" s="21">
        <f t="shared" si="7"/>
        <v>0</v>
      </c>
    </row>
    <row r="24" spans="1:12" ht="12.75">
      <c r="A24" s="103" t="s">
        <v>171</v>
      </c>
      <c r="B24" s="21">
        <v>8.61</v>
      </c>
      <c r="C24" s="21">
        <f>+B24+2</f>
        <v>10.61</v>
      </c>
      <c r="D24">
        <v>5</v>
      </c>
      <c r="E24" s="21">
        <f>+D24*C24*52</f>
        <v>2758.6</v>
      </c>
      <c r="F24" s="30">
        <f>+E24*0.0765</f>
        <v>211.03289999999998</v>
      </c>
      <c r="G24" s="25">
        <f>+E24*0.013</f>
        <v>35.861799999999995</v>
      </c>
      <c r="H24" s="25">
        <f>E24*0.013</f>
        <v>35.861799999999995</v>
      </c>
      <c r="I24" s="27"/>
      <c r="J24" s="28"/>
      <c r="K24" s="27"/>
      <c r="L24" s="21">
        <f t="shared" si="7"/>
        <v>282.75649999999996</v>
      </c>
    </row>
    <row r="25" spans="2:12" ht="12.75">
      <c r="B25" s="21"/>
      <c r="C25" s="21"/>
      <c r="D25"/>
      <c r="E25" s="21">
        <f>+D25*C25*52</f>
        <v>0</v>
      </c>
      <c r="F25" s="30">
        <f>+E25*0.0765</f>
        <v>0</v>
      </c>
      <c r="G25" s="25">
        <f>+E25*0.033</f>
        <v>0</v>
      </c>
      <c r="H25" s="25"/>
      <c r="I25" s="27"/>
      <c r="J25" s="28"/>
      <c r="K25" s="27"/>
      <c r="L25" s="21">
        <f t="shared" si="7"/>
        <v>0</v>
      </c>
    </row>
    <row r="26" spans="1:12" ht="12.75">
      <c r="A26" t="s">
        <v>89</v>
      </c>
      <c r="B26" s="21"/>
      <c r="C26" s="21"/>
      <c r="D26">
        <f>SUM(D24:D25)</f>
        <v>5</v>
      </c>
      <c r="E26" s="34">
        <f>SUM(E24:E25)</f>
        <v>2758.6</v>
      </c>
      <c r="F26" s="34">
        <f aca="true" t="shared" si="8" ref="F26:K26">SUM(F24:F25)</f>
        <v>211.03289999999998</v>
      </c>
      <c r="G26" s="27">
        <f t="shared" si="8"/>
        <v>35.861799999999995</v>
      </c>
      <c r="H26" s="27">
        <f t="shared" si="8"/>
        <v>35.861799999999995</v>
      </c>
      <c r="I26" s="27">
        <f t="shared" si="8"/>
        <v>0</v>
      </c>
      <c r="J26" s="27">
        <f t="shared" si="8"/>
        <v>0</v>
      </c>
      <c r="K26" s="27">
        <f t="shared" si="8"/>
        <v>0</v>
      </c>
      <c r="L26" s="21">
        <f t="shared" si="7"/>
        <v>282.75649999999996</v>
      </c>
    </row>
    <row r="28" spans="1:12" ht="12.75">
      <c r="A28" t="s">
        <v>200</v>
      </c>
      <c r="D28" s="21"/>
      <c r="E28" s="21">
        <f>+E18+E21+E26</f>
        <v>299519.48</v>
      </c>
      <c r="F28" s="21">
        <f aca="true" t="shared" si="9" ref="F28:L28">+F18+F21+F26</f>
        <v>22913.240220000003</v>
      </c>
      <c r="G28" s="21">
        <f t="shared" si="9"/>
        <v>1601.5058</v>
      </c>
      <c r="H28" s="21">
        <f t="shared" si="9"/>
        <v>4565.988439999999</v>
      </c>
      <c r="I28" s="21">
        <f t="shared" si="9"/>
        <v>2351.28</v>
      </c>
      <c r="J28" s="21">
        <f t="shared" si="9"/>
        <v>6359.495999999999</v>
      </c>
      <c r="K28" s="21">
        <f t="shared" si="9"/>
        <v>6359.495999999999</v>
      </c>
      <c r="L28" s="21">
        <f t="shared" si="9"/>
        <v>41859.14526</v>
      </c>
    </row>
  </sheetData>
  <sheetProtection/>
  <printOptions/>
  <pageMargins left="0.75" right="0.75" top="1" bottom="1" header="0.5" footer="0.5"/>
  <pageSetup horizontalDpi="600" verticalDpi="600" orientation="landscape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5"/>
  <sheetViews>
    <sheetView view="pageBreakPreview" zoomScaleSheetLayoutView="100" zoomScalePageLayoutView="0" workbookViewId="0" topLeftCell="A1">
      <pane xSplit="1" ySplit="4" topLeftCell="B26" activePane="bottomRight" state="frozen"/>
      <selection pane="topLeft" activeCell="K112" sqref="K112"/>
      <selection pane="topRight" activeCell="K112" sqref="K112"/>
      <selection pane="bottomLeft" activeCell="K112" sqref="K112"/>
      <selection pane="bottomRight" activeCell="A3" sqref="A3"/>
    </sheetView>
  </sheetViews>
  <sheetFormatPr defaultColWidth="9.140625" defaultRowHeight="12.75"/>
  <cols>
    <col min="1" max="1" width="34.421875" style="0" customWidth="1"/>
    <col min="2" max="2" width="13.140625" style="3" customWidth="1"/>
    <col min="3" max="3" width="13.7109375" style="7" hidden="1" customWidth="1"/>
    <col min="4" max="4" width="13.7109375" style="3" hidden="1" customWidth="1"/>
    <col min="5" max="6" width="13.7109375" style="103" customWidth="1"/>
    <col min="7" max="7" width="14.7109375" style="0" hidden="1" customWidth="1"/>
    <col min="8" max="8" width="13.7109375" style="0" hidden="1" customWidth="1"/>
    <col min="9" max="10" width="11.00390625" style="0" hidden="1" customWidth="1"/>
    <col min="11" max="11" width="12.421875" style="0" hidden="1" customWidth="1"/>
    <col min="12" max="12" width="11.7109375" style="0" hidden="1" customWidth="1"/>
    <col min="13" max="13" width="16.28125" style="0" hidden="1" customWidth="1"/>
    <col min="14" max="14" width="14.00390625" style="0" hidden="1" customWidth="1"/>
    <col min="15" max="15" width="13.28125" style="0" hidden="1" customWidth="1"/>
    <col min="16" max="16" width="11.7109375" style="0" hidden="1" customWidth="1"/>
    <col min="17" max="17" width="13.8515625" style="0" hidden="1" customWidth="1"/>
    <col min="18" max="18" width="13.28125" style="0" hidden="1" customWidth="1"/>
    <col min="19" max="19" width="10.57421875" style="0" hidden="1" customWidth="1"/>
  </cols>
  <sheetData>
    <row r="1" spans="1:4" ht="18">
      <c r="A1" s="1" t="s">
        <v>77</v>
      </c>
      <c r="B1" s="115"/>
      <c r="C1" s="62"/>
      <c r="D1" s="116"/>
    </row>
    <row r="2" spans="1:5" ht="18.75" thickBot="1">
      <c r="A2" s="189" t="s">
        <v>205</v>
      </c>
      <c r="B2" s="190"/>
      <c r="C2" s="190"/>
      <c r="D2" s="190"/>
      <c r="E2" s="190"/>
    </row>
    <row r="3" spans="1:18" ht="18">
      <c r="A3" s="69"/>
      <c r="B3" s="104" t="s">
        <v>123</v>
      </c>
      <c r="C3" s="104" t="s">
        <v>105</v>
      </c>
      <c r="D3" s="117" t="s">
        <v>110</v>
      </c>
      <c r="E3" s="104" t="s">
        <v>61</v>
      </c>
      <c r="F3" s="118" t="s">
        <v>113</v>
      </c>
      <c r="G3" s="83" t="s">
        <v>63</v>
      </c>
      <c r="H3" s="76" t="s">
        <v>64</v>
      </c>
      <c r="I3" s="38" t="s">
        <v>66</v>
      </c>
      <c r="J3" s="6" t="s">
        <v>65</v>
      </c>
      <c r="K3" s="6" t="s">
        <v>67</v>
      </c>
      <c r="L3" s="6" t="s">
        <v>68</v>
      </c>
      <c r="M3" s="6" t="s">
        <v>69</v>
      </c>
      <c r="N3" s="6" t="s">
        <v>70</v>
      </c>
      <c r="O3" s="6" t="s">
        <v>71</v>
      </c>
      <c r="P3" s="6" t="s">
        <v>72</v>
      </c>
      <c r="Q3" s="6" t="s">
        <v>114</v>
      </c>
      <c r="R3" s="7"/>
    </row>
    <row r="4" spans="1:18" ht="18.75" thickBot="1">
      <c r="A4" s="2"/>
      <c r="B4" s="106" t="s">
        <v>179</v>
      </c>
      <c r="C4" s="106" t="s">
        <v>111</v>
      </c>
      <c r="D4" s="105" t="s">
        <v>179</v>
      </c>
      <c r="E4" s="106" t="s">
        <v>188</v>
      </c>
      <c r="F4" s="119" t="s">
        <v>112</v>
      </c>
      <c r="G4" s="84" t="s">
        <v>73</v>
      </c>
      <c r="H4" s="77" t="s">
        <v>74</v>
      </c>
      <c r="I4" s="39" t="s">
        <v>74</v>
      </c>
      <c r="J4" s="8" t="s">
        <v>74</v>
      </c>
      <c r="K4" s="8" t="s">
        <v>74</v>
      </c>
      <c r="L4" s="8" t="s">
        <v>75</v>
      </c>
      <c r="M4" s="8" t="s">
        <v>75</v>
      </c>
      <c r="N4" s="8" t="s">
        <v>75</v>
      </c>
      <c r="O4" s="8" t="s">
        <v>76</v>
      </c>
      <c r="P4" s="8" t="s">
        <v>74</v>
      </c>
      <c r="Q4" s="8" t="s">
        <v>75</v>
      </c>
      <c r="R4" s="9" t="s">
        <v>116</v>
      </c>
    </row>
    <row r="5" spans="1:18" ht="18.75" thickBot="1">
      <c r="A5" s="56" t="s">
        <v>0</v>
      </c>
      <c r="B5" s="120"/>
      <c r="C5" s="121"/>
      <c r="D5" s="122"/>
      <c r="E5" s="120"/>
      <c r="F5" s="123"/>
      <c r="G5" s="85"/>
      <c r="H5" s="78"/>
      <c r="I5" s="53"/>
      <c r="J5" s="54"/>
      <c r="K5" s="54"/>
      <c r="L5" s="54"/>
      <c r="M5" s="54"/>
      <c r="N5" s="54"/>
      <c r="O5" s="54"/>
      <c r="P5" s="54"/>
      <c r="Q5" s="54"/>
      <c r="R5" s="55"/>
    </row>
    <row r="6" spans="1:18" ht="15">
      <c r="A6" s="46" t="s">
        <v>1</v>
      </c>
      <c r="B6" s="91"/>
      <c r="C6" s="91"/>
      <c r="D6" s="124"/>
      <c r="E6" s="91"/>
      <c r="F6" s="125"/>
      <c r="G6" s="86"/>
      <c r="H6" s="79"/>
      <c r="I6" s="40"/>
      <c r="J6" s="40"/>
      <c r="K6" s="40"/>
      <c r="L6" s="40"/>
      <c r="M6" s="40"/>
      <c r="N6" s="40"/>
      <c r="O6" s="40"/>
      <c r="P6" s="40"/>
      <c r="Q6" s="40"/>
      <c r="R6" s="10"/>
    </row>
    <row r="7" spans="1:19" ht="15">
      <c r="A7" s="47" t="s">
        <v>2</v>
      </c>
      <c r="B7" s="68">
        <v>459500</v>
      </c>
      <c r="C7" s="63">
        <v>229750</v>
      </c>
      <c r="D7" s="126">
        <f>+C7*2</f>
        <v>459500</v>
      </c>
      <c r="E7" s="68">
        <v>466100</v>
      </c>
      <c r="F7" s="127">
        <f>+E7-B7</f>
        <v>6600</v>
      </c>
      <c r="G7" s="128">
        <v>108880</v>
      </c>
      <c r="H7" s="129">
        <v>76481</v>
      </c>
      <c r="I7" s="91"/>
      <c r="J7" s="68"/>
      <c r="K7" s="130"/>
      <c r="L7" s="68"/>
      <c r="M7" s="68"/>
      <c r="N7" s="68"/>
      <c r="O7" s="68"/>
      <c r="P7" s="68"/>
      <c r="Q7" s="68">
        <v>286462</v>
      </c>
      <c r="R7" s="11">
        <f aca="true" t="shared" si="0" ref="R7:R76">SUM(G7:Q7)</f>
        <v>471823</v>
      </c>
      <c r="S7" s="7">
        <f aca="true" t="shared" si="1" ref="S7:S60">+R7-E7</f>
        <v>5723</v>
      </c>
    </row>
    <row r="8" spans="1:19" ht="15">
      <c r="A8" s="47" t="s">
        <v>3</v>
      </c>
      <c r="B8" s="68">
        <v>35000</v>
      </c>
      <c r="C8" s="63">
        <v>16500</v>
      </c>
      <c r="D8" s="126"/>
      <c r="E8" s="68">
        <v>28249</v>
      </c>
      <c r="F8" s="127">
        <f>+E8-B8</f>
        <v>-6751</v>
      </c>
      <c r="G8" s="128">
        <v>15000</v>
      </c>
      <c r="H8" s="129">
        <v>25000</v>
      </c>
      <c r="I8" s="91"/>
      <c r="J8" s="130"/>
      <c r="K8" s="130"/>
      <c r="L8" s="130"/>
      <c r="M8" s="130"/>
      <c r="N8" s="130"/>
      <c r="O8" s="130"/>
      <c r="P8" s="130"/>
      <c r="Q8" s="68"/>
      <c r="R8" s="7">
        <f t="shared" si="0"/>
        <v>40000</v>
      </c>
      <c r="S8" s="7">
        <f t="shared" si="1"/>
        <v>11751</v>
      </c>
    </row>
    <row r="9" spans="1:19" ht="15">
      <c r="A9" s="47" t="s">
        <v>4</v>
      </c>
      <c r="B9" s="109">
        <v>20050</v>
      </c>
      <c r="C9" s="63">
        <v>10026</v>
      </c>
      <c r="D9" s="126"/>
      <c r="E9" s="109">
        <v>20050</v>
      </c>
      <c r="F9" s="127">
        <f>+E9-B9</f>
        <v>0</v>
      </c>
      <c r="G9" s="128"/>
      <c r="H9" s="129"/>
      <c r="I9" s="91"/>
      <c r="J9" s="130"/>
      <c r="K9" s="130"/>
      <c r="L9" s="68"/>
      <c r="M9" s="68"/>
      <c r="N9" s="68"/>
      <c r="O9" s="68"/>
      <c r="P9" s="130"/>
      <c r="Q9" s="68">
        <v>20050</v>
      </c>
      <c r="R9" s="7">
        <f t="shared" si="0"/>
        <v>20050</v>
      </c>
      <c r="S9" s="7">
        <f t="shared" si="1"/>
        <v>0</v>
      </c>
    </row>
    <row r="10" spans="1:19" ht="15">
      <c r="A10" s="4" t="s">
        <v>109</v>
      </c>
      <c r="B10" s="109">
        <v>5000</v>
      </c>
      <c r="C10" s="63"/>
      <c r="D10" s="126"/>
      <c r="E10" s="109">
        <v>5000</v>
      </c>
      <c r="F10" s="127">
        <f>+E10-B10</f>
        <v>0</v>
      </c>
      <c r="G10" s="128"/>
      <c r="H10" s="129"/>
      <c r="I10" s="91"/>
      <c r="J10" s="130"/>
      <c r="K10" s="130"/>
      <c r="L10" s="130"/>
      <c r="M10" s="68"/>
      <c r="N10" s="68"/>
      <c r="O10" s="130"/>
      <c r="P10" s="130"/>
      <c r="Q10" s="68"/>
      <c r="R10" s="7">
        <f t="shared" si="0"/>
        <v>0</v>
      </c>
      <c r="S10" s="7">
        <f t="shared" si="1"/>
        <v>-5000</v>
      </c>
    </row>
    <row r="11" spans="1:19" ht="15.75" thickBot="1">
      <c r="A11" s="4" t="s">
        <v>5</v>
      </c>
      <c r="B11" s="109">
        <v>12550</v>
      </c>
      <c r="C11" s="64">
        <v>6279</v>
      </c>
      <c r="D11" s="126"/>
      <c r="E11" s="109">
        <v>12550</v>
      </c>
      <c r="F11" s="127">
        <f>+E11-B11</f>
        <v>0</v>
      </c>
      <c r="G11" s="128"/>
      <c r="H11" s="129"/>
      <c r="I11" s="91"/>
      <c r="J11" s="130"/>
      <c r="K11" s="130"/>
      <c r="L11" s="68"/>
      <c r="M11" s="68"/>
      <c r="N11" s="68"/>
      <c r="O11" s="68"/>
      <c r="P11" s="130"/>
      <c r="Q11" s="68">
        <v>12550</v>
      </c>
      <c r="R11" s="7">
        <f t="shared" si="0"/>
        <v>12550</v>
      </c>
      <c r="S11" s="7">
        <f t="shared" si="1"/>
        <v>0</v>
      </c>
    </row>
    <row r="12" spans="1:19" ht="15.75" thickBot="1">
      <c r="A12" s="48" t="s">
        <v>6</v>
      </c>
      <c r="B12" s="110">
        <f>SUM(B7:B11)</f>
        <v>532100</v>
      </c>
      <c r="C12" s="43">
        <f aca="true" t="shared" si="2" ref="C12:Q12">SUM(C7:C11)</f>
        <v>262555</v>
      </c>
      <c r="D12" s="131">
        <f t="shared" si="2"/>
        <v>459500</v>
      </c>
      <c r="E12" s="110">
        <f t="shared" si="2"/>
        <v>531949</v>
      </c>
      <c r="F12" s="132">
        <f t="shared" si="2"/>
        <v>-151</v>
      </c>
      <c r="G12" s="133">
        <f t="shared" si="2"/>
        <v>123880</v>
      </c>
      <c r="H12" s="134">
        <f t="shared" si="2"/>
        <v>101481</v>
      </c>
      <c r="I12" s="135">
        <f t="shared" si="2"/>
        <v>0</v>
      </c>
      <c r="J12" s="136">
        <f t="shared" si="2"/>
        <v>0</v>
      </c>
      <c r="K12" s="136">
        <f t="shared" si="2"/>
        <v>0</v>
      </c>
      <c r="L12" s="136">
        <f t="shared" si="2"/>
        <v>0</v>
      </c>
      <c r="M12" s="136">
        <f t="shared" si="2"/>
        <v>0</v>
      </c>
      <c r="N12" s="136">
        <f t="shared" si="2"/>
        <v>0</v>
      </c>
      <c r="O12" s="136">
        <f t="shared" si="2"/>
        <v>0</v>
      </c>
      <c r="P12" s="136">
        <f t="shared" si="2"/>
        <v>0</v>
      </c>
      <c r="Q12" s="110">
        <f t="shared" si="2"/>
        <v>319062</v>
      </c>
      <c r="R12" s="12">
        <f t="shared" si="0"/>
        <v>544423</v>
      </c>
      <c r="S12" s="7">
        <f t="shared" si="1"/>
        <v>12474</v>
      </c>
    </row>
    <row r="13" spans="1:19" ht="15">
      <c r="A13" s="46" t="s">
        <v>7</v>
      </c>
      <c r="B13" s="91"/>
      <c r="C13" s="137"/>
      <c r="D13" s="124"/>
      <c r="E13" s="91"/>
      <c r="F13" s="125"/>
      <c r="G13" s="128"/>
      <c r="H13" s="129"/>
      <c r="I13" s="91"/>
      <c r="J13" s="91"/>
      <c r="K13" s="91"/>
      <c r="L13" s="91"/>
      <c r="M13" s="91"/>
      <c r="N13" s="91"/>
      <c r="O13" s="91"/>
      <c r="P13" s="91"/>
      <c r="Q13" s="91"/>
      <c r="R13" s="13">
        <f t="shared" si="0"/>
        <v>0</v>
      </c>
      <c r="S13" s="7">
        <f t="shared" si="1"/>
        <v>0</v>
      </c>
    </row>
    <row r="14" spans="1:19" ht="15">
      <c r="A14" s="46" t="s">
        <v>8</v>
      </c>
      <c r="B14" s="91"/>
      <c r="C14" s="137"/>
      <c r="D14" s="124"/>
      <c r="E14" s="91"/>
      <c r="F14" s="125"/>
      <c r="G14" s="128"/>
      <c r="H14" s="129"/>
      <c r="I14" s="91"/>
      <c r="J14" s="91"/>
      <c r="K14" s="91"/>
      <c r="L14" s="91"/>
      <c r="M14" s="91"/>
      <c r="N14" s="91"/>
      <c r="O14" s="91"/>
      <c r="P14" s="91"/>
      <c r="Q14" s="91"/>
      <c r="R14" s="13">
        <f t="shared" si="0"/>
        <v>0</v>
      </c>
      <c r="S14" s="7">
        <f t="shared" si="1"/>
        <v>0</v>
      </c>
    </row>
    <row r="15" spans="1:19" ht="15.75" thickBot="1">
      <c r="A15" s="46" t="s">
        <v>9</v>
      </c>
      <c r="B15" s="111"/>
      <c r="C15" s="138"/>
      <c r="D15" s="139"/>
      <c r="E15" s="111"/>
      <c r="F15" s="140"/>
      <c r="G15" s="141"/>
      <c r="H15" s="142"/>
      <c r="I15" s="111"/>
      <c r="J15" s="111"/>
      <c r="K15" s="111"/>
      <c r="L15" s="111"/>
      <c r="M15" s="111"/>
      <c r="N15" s="111"/>
      <c r="O15" s="111"/>
      <c r="P15" s="111"/>
      <c r="Q15" s="143"/>
      <c r="R15" s="14">
        <f t="shared" si="0"/>
        <v>0</v>
      </c>
      <c r="S15" s="7">
        <f t="shared" si="1"/>
        <v>0</v>
      </c>
    </row>
    <row r="16" spans="1:19" ht="15">
      <c r="A16" s="4" t="s">
        <v>99</v>
      </c>
      <c r="B16" s="109"/>
      <c r="C16" s="66"/>
      <c r="D16" s="126"/>
      <c r="E16" s="109"/>
      <c r="F16" s="127"/>
      <c r="G16" s="128"/>
      <c r="H16" s="129"/>
      <c r="I16" s="91"/>
      <c r="J16" s="130"/>
      <c r="K16" s="130"/>
      <c r="L16" s="130"/>
      <c r="M16" s="130"/>
      <c r="N16" s="130"/>
      <c r="O16" s="130"/>
      <c r="P16" s="130"/>
      <c r="Q16" s="68">
        <v>0</v>
      </c>
      <c r="R16" s="7">
        <f t="shared" si="0"/>
        <v>0</v>
      </c>
      <c r="S16" s="7">
        <f t="shared" si="1"/>
        <v>0</v>
      </c>
    </row>
    <row r="17" spans="1:19" ht="15">
      <c r="A17" s="4" t="s">
        <v>100</v>
      </c>
      <c r="B17" s="109"/>
      <c r="C17" s="64"/>
      <c r="D17" s="126"/>
      <c r="E17" s="109"/>
      <c r="F17" s="127">
        <f aca="true" t="shared" si="3" ref="F17:F22">+E17-D17</f>
        <v>0</v>
      </c>
      <c r="G17" s="128"/>
      <c r="H17" s="129"/>
      <c r="I17" s="91"/>
      <c r="J17" s="130"/>
      <c r="K17" s="130"/>
      <c r="L17" s="130"/>
      <c r="M17" s="130"/>
      <c r="N17" s="130"/>
      <c r="O17" s="130"/>
      <c r="P17" s="130"/>
      <c r="Q17" s="68">
        <f>+E17-G17-H17</f>
        <v>0</v>
      </c>
      <c r="R17" s="7">
        <f t="shared" si="0"/>
        <v>0</v>
      </c>
      <c r="S17" s="7">
        <f t="shared" si="1"/>
        <v>0</v>
      </c>
    </row>
    <row r="18" spans="1:19" ht="15">
      <c r="A18" s="4" t="s">
        <v>115</v>
      </c>
      <c r="B18" s="109"/>
      <c r="C18" s="64"/>
      <c r="D18" s="126"/>
      <c r="E18" s="109"/>
      <c r="F18" s="127">
        <f t="shared" si="3"/>
        <v>0</v>
      </c>
      <c r="G18" s="128"/>
      <c r="H18" s="129"/>
      <c r="I18" s="91"/>
      <c r="J18" s="130"/>
      <c r="K18" s="130"/>
      <c r="L18" s="130"/>
      <c r="M18" s="130"/>
      <c r="N18" s="130"/>
      <c r="O18" s="130"/>
      <c r="P18" s="130"/>
      <c r="Q18" s="68">
        <f>+E18-G18-H18</f>
        <v>0</v>
      </c>
      <c r="R18" s="7">
        <f t="shared" si="0"/>
        <v>0</v>
      </c>
      <c r="S18" s="7">
        <f t="shared" si="1"/>
        <v>0</v>
      </c>
    </row>
    <row r="19" spans="1:19" ht="15">
      <c r="A19" s="4" t="s">
        <v>101</v>
      </c>
      <c r="B19" s="109"/>
      <c r="C19" s="64"/>
      <c r="D19" s="126"/>
      <c r="E19" s="109"/>
      <c r="F19" s="127">
        <f t="shared" si="3"/>
        <v>0</v>
      </c>
      <c r="G19" s="128"/>
      <c r="H19" s="129"/>
      <c r="I19" s="91"/>
      <c r="J19" s="130"/>
      <c r="K19" s="130"/>
      <c r="L19" s="130"/>
      <c r="M19" s="130"/>
      <c r="N19" s="130"/>
      <c r="O19" s="130"/>
      <c r="P19" s="130"/>
      <c r="Q19" s="68">
        <f>+E19-G19-H19</f>
        <v>0</v>
      </c>
      <c r="R19" s="7">
        <f t="shared" si="0"/>
        <v>0</v>
      </c>
      <c r="S19" s="7">
        <f t="shared" si="1"/>
        <v>0</v>
      </c>
    </row>
    <row r="20" spans="1:19" ht="15">
      <c r="A20" s="4" t="s">
        <v>102</v>
      </c>
      <c r="B20" s="109"/>
      <c r="C20" s="64"/>
      <c r="D20" s="126">
        <f>+C20*2</f>
        <v>0</v>
      </c>
      <c r="E20" s="109"/>
      <c r="F20" s="127">
        <f t="shared" si="3"/>
        <v>0</v>
      </c>
      <c r="G20" s="128"/>
      <c r="H20" s="129"/>
      <c r="I20" s="91"/>
      <c r="J20" s="130"/>
      <c r="K20" s="130"/>
      <c r="L20" s="130"/>
      <c r="M20" s="130"/>
      <c r="N20" s="130"/>
      <c r="O20" s="130"/>
      <c r="P20" s="130"/>
      <c r="Q20" s="68">
        <v>0</v>
      </c>
      <c r="R20" s="7">
        <f t="shared" si="0"/>
        <v>0</v>
      </c>
      <c r="S20" s="7">
        <f t="shared" si="1"/>
        <v>0</v>
      </c>
    </row>
    <row r="21" spans="1:19" ht="15">
      <c r="A21" s="4" t="s">
        <v>106</v>
      </c>
      <c r="B21" s="109"/>
      <c r="C21" s="64"/>
      <c r="D21" s="126">
        <f>+C21*2</f>
        <v>0</v>
      </c>
      <c r="E21" s="109"/>
      <c r="F21" s="144">
        <f t="shared" si="3"/>
        <v>0</v>
      </c>
      <c r="G21" s="128"/>
      <c r="H21" s="129"/>
      <c r="I21" s="91"/>
      <c r="J21" s="130"/>
      <c r="K21" s="130"/>
      <c r="L21" s="130"/>
      <c r="M21" s="130"/>
      <c r="N21" s="130"/>
      <c r="O21" s="130"/>
      <c r="P21" s="130"/>
      <c r="Q21" s="68"/>
      <c r="R21" s="7"/>
      <c r="S21" s="7"/>
    </row>
    <row r="22" spans="1:19" ht="15">
      <c r="A22" s="4" t="s">
        <v>158</v>
      </c>
      <c r="B22" s="109"/>
      <c r="C22" s="64"/>
      <c r="D22" s="126">
        <f>+C22*2</f>
        <v>0</v>
      </c>
      <c r="E22" s="109"/>
      <c r="F22" s="144">
        <f t="shared" si="3"/>
        <v>0</v>
      </c>
      <c r="G22" s="128"/>
      <c r="H22" s="129"/>
      <c r="I22" s="91"/>
      <c r="J22" s="130"/>
      <c r="K22" s="130"/>
      <c r="L22" s="130"/>
      <c r="M22" s="130"/>
      <c r="N22" s="130"/>
      <c r="O22" s="130"/>
      <c r="P22" s="130"/>
      <c r="Q22" s="68"/>
      <c r="R22" s="7"/>
      <c r="S22" s="7"/>
    </row>
    <row r="23" spans="1:19" ht="15.75" thickBot="1">
      <c r="A23" s="4" t="s">
        <v>103</v>
      </c>
      <c r="B23" s="109"/>
      <c r="C23" s="67"/>
      <c r="D23" s="126"/>
      <c r="E23" s="109"/>
      <c r="F23" s="127"/>
      <c r="G23" s="128"/>
      <c r="H23" s="129"/>
      <c r="I23" s="91"/>
      <c r="J23" s="130"/>
      <c r="K23" s="68"/>
      <c r="L23" s="130"/>
      <c r="M23" s="130"/>
      <c r="N23" s="130"/>
      <c r="O23" s="130"/>
      <c r="P23" s="130"/>
      <c r="Q23" s="68">
        <v>0</v>
      </c>
      <c r="R23" s="7">
        <f t="shared" si="0"/>
        <v>0</v>
      </c>
      <c r="S23" s="7">
        <f t="shared" si="1"/>
        <v>0</v>
      </c>
    </row>
    <row r="24" spans="1:19" ht="15.75" thickBot="1">
      <c r="A24" s="48" t="s">
        <v>6</v>
      </c>
      <c r="B24" s="43">
        <v>13000</v>
      </c>
      <c r="C24" s="43">
        <v>25478.06</v>
      </c>
      <c r="D24" s="145">
        <f>+C24*2</f>
        <v>50956.12</v>
      </c>
      <c r="E24" s="43">
        <v>15000</v>
      </c>
      <c r="F24" s="132">
        <f>+E24-B24</f>
        <v>2000</v>
      </c>
      <c r="G24" s="133">
        <f aca="true" t="shared" si="4" ref="G24:P24">SUM(G15:G23)</f>
        <v>0</v>
      </c>
      <c r="H24" s="134">
        <f t="shared" si="4"/>
        <v>0</v>
      </c>
      <c r="I24" s="135">
        <f t="shared" si="4"/>
        <v>0</v>
      </c>
      <c r="J24" s="136">
        <f>SUM(J15:J23)</f>
        <v>0</v>
      </c>
      <c r="K24" s="136">
        <f t="shared" si="4"/>
        <v>0</v>
      </c>
      <c r="L24" s="136">
        <f t="shared" si="4"/>
        <v>0</v>
      </c>
      <c r="M24" s="136">
        <f t="shared" si="4"/>
        <v>0</v>
      </c>
      <c r="N24" s="136">
        <f t="shared" si="4"/>
        <v>0</v>
      </c>
      <c r="O24" s="136">
        <f t="shared" si="4"/>
        <v>0</v>
      </c>
      <c r="P24" s="136">
        <f t="shared" si="4"/>
        <v>0</v>
      </c>
      <c r="Q24" s="110">
        <v>13000</v>
      </c>
      <c r="R24" s="44">
        <f t="shared" si="0"/>
        <v>13000</v>
      </c>
      <c r="S24" s="7">
        <f t="shared" si="1"/>
        <v>-2000</v>
      </c>
    </row>
    <row r="25" spans="1:19" ht="15">
      <c r="A25" s="46" t="s">
        <v>10</v>
      </c>
      <c r="B25" s="91"/>
      <c r="C25" s="146"/>
      <c r="D25" s="124"/>
      <c r="E25" s="91"/>
      <c r="F25" s="125"/>
      <c r="G25" s="128"/>
      <c r="H25" s="129"/>
      <c r="I25" s="91"/>
      <c r="J25" s="91"/>
      <c r="K25" s="91"/>
      <c r="L25" s="91"/>
      <c r="M25" s="91"/>
      <c r="N25" s="91"/>
      <c r="O25" s="91"/>
      <c r="P25" s="91"/>
      <c r="Q25" s="91"/>
      <c r="R25" s="13">
        <f t="shared" si="0"/>
        <v>0</v>
      </c>
      <c r="S25" s="7">
        <f t="shared" si="1"/>
        <v>0</v>
      </c>
    </row>
    <row r="26" spans="1:19" ht="15">
      <c r="A26" s="4" t="s">
        <v>11</v>
      </c>
      <c r="B26" s="109">
        <v>49200</v>
      </c>
      <c r="C26" s="63">
        <v>24900</v>
      </c>
      <c r="D26" s="126">
        <f>+C26*2</f>
        <v>49800</v>
      </c>
      <c r="E26" s="109">
        <v>60200</v>
      </c>
      <c r="F26" s="144">
        <f>+E26-B26</f>
        <v>11000</v>
      </c>
      <c r="G26" s="109">
        <v>60200</v>
      </c>
      <c r="H26" s="129"/>
      <c r="I26" s="91"/>
      <c r="J26" s="130"/>
      <c r="K26" s="130"/>
      <c r="L26" s="130"/>
      <c r="M26" s="130"/>
      <c r="N26" s="130"/>
      <c r="O26" s="130"/>
      <c r="P26" s="130"/>
      <c r="Q26" s="68"/>
      <c r="R26" s="7">
        <f t="shared" si="0"/>
        <v>60200</v>
      </c>
      <c r="S26" s="7">
        <f t="shared" si="1"/>
        <v>0</v>
      </c>
    </row>
    <row r="27" spans="1:19" ht="15">
      <c r="A27" s="4" t="s">
        <v>157</v>
      </c>
      <c r="B27" s="109">
        <v>7200</v>
      </c>
      <c r="C27" s="64">
        <v>1158.75</v>
      </c>
      <c r="D27" s="126">
        <f>+C27*2</f>
        <v>2317.5</v>
      </c>
      <c r="E27" s="109">
        <v>6400</v>
      </c>
      <c r="F27" s="127">
        <f aca="true" t="shared" si="5" ref="F27:F44">+E27-B27</f>
        <v>-800</v>
      </c>
      <c r="G27" s="109">
        <v>6400</v>
      </c>
      <c r="H27" s="129"/>
      <c r="I27" s="91"/>
      <c r="J27" s="130"/>
      <c r="K27" s="130"/>
      <c r="L27" s="130"/>
      <c r="M27" s="130"/>
      <c r="N27" s="130"/>
      <c r="O27" s="130"/>
      <c r="P27" s="130"/>
      <c r="Q27" s="68"/>
      <c r="R27" s="7">
        <f t="shared" si="0"/>
        <v>6400</v>
      </c>
      <c r="S27" s="7"/>
    </row>
    <row r="28" spans="1:19" ht="15">
      <c r="A28" s="4" t="s">
        <v>155</v>
      </c>
      <c r="B28" s="109">
        <v>0</v>
      </c>
      <c r="C28" s="63">
        <v>0</v>
      </c>
      <c r="D28" s="126"/>
      <c r="E28" s="109"/>
      <c r="F28" s="144">
        <f t="shared" si="5"/>
        <v>0</v>
      </c>
      <c r="G28" s="109">
        <v>0</v>
      </c>
      <c r="H28" s="129"/>
      <c r="I28" s="91"/>
      <c r="J28" s="130"/>
      <c r="K28" s="130"/>
      <c r="L28" s="68"/>
      <c r="M28" s="68"/>
      <c r="N28" s="68"/>
      <c r="O28" s="68"/>
      <c r="P28" s="68"/>
      <c r="Q28" s="68"/>
      <c r="R28" s="7">
        <f t="shared" si="0"/>
        <v>0</v>
      </c>
      <c r="S28" s="7">
        <f t="shared" si="1"/>
        <v>0</v>
      </c>
    </row>
    <row r="29" spans="1:19" ht="15">
      <c r="A29" s="4" t="s">
        <v>170</v>
      </c>
      <c r="B29" s="109">
        <v>16000</v>
      </c>
      <c r="C29" s="63">
        <v>10834.5</v>
      </c>
      <c r="D29" s="126">
        <f>+C29*2</f>
        <v>21669</v>
      </c>
      <c r="E29" s="109">
        <v>20000</v>
      </c>
      <c r="F29" s="144">
        <f t="shared" si="5"/>
        <v>4000</v>
      </c>
      <c r="G29" s="128"/>
      <c r="H29" s="129"/>
      <c r="I29" s="91"/>
      <c r="J29" s="130"/>
      <c r="K29" s="130"/>
      <c r="L29" s="130"/>
      <c r="M29" s="130"/>
      <c r="N29" s="130"/>
      <c r="O29" s="130"/>
      <c r="P29" s="130"/>
      <c r="Q29" s="68">
        <v>16000</v>
      </c>
      <c r="R29" s="7">
        <f t="shared" si="0"/>
        <v>16000</v>
      </c>
      <c r="S29" s="7">
        <f t="shared" si="1"/>
        <v>-4000</v>
      </c>
    </row>
    <row r="30" spans="1:19" ht="15">
      <c r="A30" s="4" t="s">
        <v>156</v>
      </c>
      <c r="B30" s="109">
        <v>2000</v>
      </c>
      <c r="C30" s="63">
        <v>333.5</v>
      </c>
      <c r="D30" s="126"/>
      <c r="E30" s="109">
        <v>1000</v>
      </c>
      <c r="F30" s="144">
        <f t="shared" si="5"/>
        <v>-1000</v>
      </c>
      <c r="G30" s="128"/>
      <c r="H30" s="129"/>
      <c r="I30" s="91"/>
      <c r="J30" s="130"/>
      <c r="K30" s="130"/>
      <c r="L30" s="130"/>
      <c r="M30" s="130"/>
      <c r="N30" s="130"/>
      <c r="O30" s="130"/>
      <c r="P30" s="130"/>
      <c r="Q30" s="68">
        <v>2000</v>
      </c>
      <c r="R30" s="7">
        <f t="shared" si="0"/>
        <v>2000</v>
      </c>
      <c r="S30" s="7">
        <f t="shared" si="1"/>
        <v>1000</v>
      </c>
    </row>
    <row r="31" spans="1:19" ht="15">
      <c r="A31" s="4" t="s">
        <v>12</v>
      </c>
      <c r="B31" s="109">
        <v>1500</v>
      </c>
      <c r="C31" s="63">
        <v>703.98</v>
      </c>
      <c r="D31" s="126"/>
      <c r="E31" s="109">
        <v>1500</v>
      </c>
      <c r="F31" s="144">
        <f t="shared" si="5"/>
        <v>0</v>
      </c>
      <c r="G31" s="128"/>
      <c r="H31" s="129"/>
      <c r="I31" s="91"/>
      <c r="J31" s="130"/>
      <c r="K31" s="130"/>
      <c r="L31" s="130"/>
      <c r="M31" s="130"/>
      <c r="N31" s="130"/>
      <c r="O31" s="130"/>
      <c r="P31" s="130"/>
      <c r="Q31" s="68">
        <v>1500</v>
      </c>
      <c r="R31" s="7">
        <f t="shared" si="0"/>
        <v>1500</v>
      </c>
      <c r="S31" s="7">
        <f t="shared" si="1"/>
        <v>0</v>
      </c>
    </row>
    <row r="32" spans="1:19" ht="15">
      <c r="A32" s="4" t="s">
        <v>104</v>
      </c>
      <c r="B32" s="109">
        <v>100</v>
      </c>
      <c r="C32" s="63">
        <v>1</v>
      </c>
      <c r="D32" s="126"/>
      <c r="E32" s="109">
        <v>100</v>
      </c>
      <c r="F32" s="144">
        <f t="shared" si="5"/>
        <v>0</v>
      </c>
      <c r="G32" s="128"/>
      <c r="H32" s="129"/>
      <c r="I32" s="91"/>
      <c r="J32" s="130"/>
      <c r="K32" s="130"/>
      <c r="L32" s="130"/>
      <c r="M32" s="130"/>
      <c r="N32" s="130"/>
      <c r="O32" s="130"/>
      <c r="P32" s="130"/>
      <c r="Q32" s="68">
        <v>100</v>
      </c>
      <c r="R32" s="7">
        <f t="shared" si="0"/>
        <v>100</v>
      </c>
      <c r="S32" s="7">
        <f t="shared" si="1"/>
        <v>0</v>
      </c>
    </row>
    <row r="33" spans="1:19" ht="15">
      <c r="A33" s="4" t="s">
        <v>13</v>
      </c>
      <c r="B33" s="109">
        <v>0</v>
      </c>
      <c r="C33" s="64">
        <v>0</v>
      </c>
      <c r="D33" s="126"/>
      <c r="E33" s="109">
        <v>0</v>
      </c>
      <c r="F33" s="144">
        <f t="shared" si="5"/>
        <v>0</v>
      </c>
      <c r="G33" s="128"/>
      <c r="H33" s="129"/>
      <c r="I33" s="91"/>
      <c r="J33" s="109"/>
      <c r="K33" s="130"/>
      <c r="L33" s="130"/>
      <c r="M33" s="130"/>
      <c r="N33" s="130"/>
      <c r="O33" s="130"/>
      <c r="P33" s="130"/>
      <c r="Q33" s="68"/>
      <c r="R33" s="7">
        <f t="shared" si="0"/>
        <v>0</v>
      </c>
      <c r="S33" s="7">
        <f t="shared" si="1"/>
        <v>0</v>
      </c>
    </row>
    <row r="34" spans="1:19" ht="15">
      <c r="A34" s="4" t="s">
        <v>14</v>
      </c>
      <c r="B34" s="109">
        <v>0</v>
      </c>
      <c r="C34" s="63">
        <v>0</v>
      </c>
      <c r="D34" s="126"/>
      <c r="E34" s="109">
        <v>0</v>
      </c>
      <c r="F34" s="144">
        <f t="shared" si="5"/>
        <v>0</v>
      </c>
      <c r="G34" s="128"/>
      <c r="H34" s="129"/>
      <c r="I34" s="91"/>
      <c r="J34" s="109"/>
      <c r="K34" s="130"/>
      <c r="L34" s="130"/>
      <c r="M34" s="130"/>
      <c r="N34" s="130"/>
      <c r="O34" s="130"/>
      <c r="P34" s="130"/>
      <c r="Q34" s="68"/>
      <c r="R34" s="7">
        <f t="shared" si="0"/>
        <v>0</v>
      </c>
      <c r="S34" s="7">
        <f t="shared" si="1"/>
        <v>0</v>
      </c>
    </row>
    <row r="35" spans="1:19" ht="15">
      <c r="A35" s="4" t="s">
        <v>15</v>
      </c>
      <c r="B35" s="109">
        <v>13750</v>
      </c>
      <c r="C35" s="63">
        <v>8808.6</v>
      </c>
      <c r="D35" s="126">
        <f>+C35*2</f>
        <v>17617.2</v>
      </c>
      <c r="E35" s="109">
        <v>18000</v>
      </c>
      <c r="F35" s="144">
        <f t="shared" si="5"/>
        <v>4250</v>
      </c>
      <c r="G35" s="128"/>
      <c r="H35" s="129"/>
      <c r="I35" s="91"/>
      <c r="J35" s="109"/>
      <c r="K35" s="130"/>
      <c r="L35" s="130"/>
      <c r="M35" s="130"/>
      <c r="N35" s="130"/>
      <c r="O35" s="130"/>
      <c r="P35" s="130"/>
      <c r="Q35" s="68">
        <v>13750</v>
      </c>
      <c r="R35" s="7">
        <f t="shared" si="0"/>
        <v>13750</v>
      </c>
      <c r="S35" s="7">
        <f t="shared" si="1"/>
        <v>-4250</v>
      </c>
    </row>
    <row r="36" spans="1:19" ht="15">
      <c r="A36" s="4" t="s">
        <v>124</v>
      </c>
      <c r="B36" s="109">
        <v>0</v>
      </c>
      <c r="C36" s="63">
        <v>0</v>
      </c>
      <c r="D36" s="126"/>
      <c r="E36" s="109">
        <v>0</v>
      </c>
      <c r="F36" s="144">
        <f t="shared" si="5"/>
        <v>0</v>
      </c>
      <c r="G36" s="128"/>
      <c r="H36" s="129"/>
      <c r="I36" s="91"/>
      <c r="J36" s="109"/>
      <c r="K36" s="130"/>
      <c r="L36" s="130"/>
      <c r="M36" s="130"/>
      <c r="N36" s="130"/>
      <c r="O36" s="130"/>
      <c r="P36" s="130"/>
      <c r="Q36" s="68"/>
      <c r="R36" s="7">
        <f t="shared" si="0"/>
        <v>0</v>
      </c>
      <c r="S36" s="7">
        <f t="shared" si="1"/>
        <v>0</v>
      </c>
    </row>
    <row r="37" spans="1:19" ht="15">
      <c r="A37" s="4" t="s">
        <v>16</v>
      </c>
      <c r="B37" s="109">
        <v>1000</v>
      </c>
      <c r="C37" s="63">
        <v>945</v>
      </c>
      <c r="D37" s="126">
        <v>1200</v>
      </c>
      <c r="E37" s="109">
        <v>1200</v>
      </c>
      <c r="F37" s="144">
        <f t="shared" si="5"/>
        <v>200</v>
      </c>
      <c r="G37" s="128"/>
      <c r="H37" s="129"/>
      <c r="I37" s="91"/>
      <c r="J37" s="109"/>
      <c r="K37" s="130"/>
      <c r="L37" s="130"/>
      <c r="M37" s="130"/>
      <c r="N37" s="130"/>
      <c r="O37" s="130"/>
      <c r="P37" s="130"/>
      <c r="Q37" s="68">
        <v>1000</v>
      </c>
      <c r="R37" s="7">
        <f t="shared" si="0"/>
        <v>1000</v>
      </c>
      <c r="S37" s="7">
        <f t="shared" si="1"/>
        <v>-200</v>
      </c>
    </row>
    <row r="38" spans="1:19" ht="15">
      <c r="A38" s="4" t="s">
        <v>17</v>
      </c>
      <c r="B38" s="109">
        <v>58000</v>
      </c>
      <c r="C38" s="63">
        <v>30361.75</v>
      </c>
      <c r="D38" s="126">
        <f>+C38*2</f>
        <v>60723.5</v>
      </c>
      <c r="E38" s="109">
        <v>66600</v>
      </c>
      <c r="F38" s="144">
        <f t="shared" si="5"/>
        <v>8600</v>
      </c>
      <c r="G38" s="128"/>
      <c r="H38" s="129">
        <v>66600</v>
      </c>
      <c r="I38" s="91"/>
      <c r="J38" s="130"/>
      <c r="K38" s="130"/>
      <c r="L38" s="130"/>
      <c r="M38" s="130"/>
      <c r="N38" s="130"/>
      <c r="O38" s="130"/>
      <c r="P38" s="130"/>
      <c r="Q38" s="68"/>
      <c r="R38" s="7">
        <f t="shared" si="0"/>
        <v>66600</v>
      </c>
      <c r="S38" s="7">
        <f t="shared" si="1"/>
        <v>0</v>
      </c>
    </row>
    <row r="39" spans="1:19" ht="15">
      <c r="A39" s="4" t="s">
        <v>18</v>
      </c>
      <c r="B39" s="109">
        <v>9600</v>
      </c>
      <c r="C39" s="63">
        <v>4590</v>
      </c>
      <c r="D39" s="126">
        <f>+C39*2</f>
        <v>9180</v>
      </c>
      <c r="E39" s="109">
        <v>12000</v>
      </c>
      <c r="F39" s="144">
        <f t="shared" si="5"/>
        <v>2400</v>
      </c>
      <c r="G39" s="128"/>
      <c r="H39" s="129">
        <v>12000</v>
      </c>
      <c r="I39" s="91"/>
      <c r="J39" s="130"/>
      <c r="K39" s="130"/>
      <c r="L39" s="130"/>
      <c r="M39" s="130"/>
      <c r="N39" s="130"/>
      <c r="O39" s="130"/>
      <c r="P39" s="130"/>
      <c r="Q39" s="68"/>
      <c r="R39" s="7">
        <f t="shared" si="0"/>
        <v>12000</v>
      </c>
      <c r="S39" s="7">
        <f t="shared" si="1"/>
        <v>0</v>
      </c>
    </row>
    <row r="40" spans="1:19" ht="15">
      <c r="A40" s="4" t="s">
        <v>122</v>
      </c>
      <c r="B40" s="109"/>
      <c r="C40" s="63">
        <v>0</v>
      </c>
      <c r="D40" s="126"/>
      <c r="E40" s="109">
        <v>0</v>
      </c>
      <c r="F40" s="144">
        <f t="shared" si="5"/>
        <v>0</v>
      </c>
      <c r="G40" s="128"/>
      <c r="H40" s="129"/>
      <c r="I40" s="91"/>
      <c r="J40" s="130"/>
      <c r="K40" s="130"/>
      <c r="L40" s="130"/>
      <c r="M40" s="130"/>
      <c r="N40" s="130"/>
      <c r="O40" s="130"/>
      <c r="P40" s="130"/>
      <c r="Q40" s="68"/>
      <c r="R40" s="7">
        <f t="shared" si="0"/>
        <v>0</v>
      </c>
      <c r="S40" s="7">
        <f t="shared" si="1"/>
        <v>0</v>
      </c>
    </row>
    <row r="41" spans="1:19" ht="15">
      <c r="A41" s="4" t="s">
        <v>125</v>
      </c>
      <c r="B41" s="109">
        <v>15900</v>
      </c>
      <c r="C41" s="63">
        <v>6840.76</v>
      </c>
      <c r="D41" s="126"/>
      <c r="E41" s="109">
        <v>15000</v>
      </c>
      <c r="F41" s="144">
        <f t="shared" si="5"/>
        <v>-900</v>
      </c>
      <c r="G41" s="128"/>
      <c r="H41" s="129"/>
      <c r="I41" s="91"/>
      <c r="J41" s="130"/>
      <c r="K41" s="130"/>
      <c r="L41" s="130"/>
      <c r="M41" s="130"/>
      <c r="N41" s="130"/>
      <c r="O41" s="130"/>
      <c r="P41" s="130"/>
      <c r="Q41" s="68">
        <v>15900</v>
      </c>
      <c r="R41" s="7">
        <f t="shared" si="0"/>
        <v>15900</v>
      </c>
      <c r="S41" s="7">
        <f t="shared" si="1"/>
        <v>900</v>
      </c>
    </row>
    <row r="42" spans="1:19" ht="15">
      <c r="A42" s="4" t="s">
        <v>108</v>
      </c>
      <c r="B42" s="109">
        <v>1385</v>
      </c>
      <c r="C42" s="64">
        <v>290.35</v>
      </c>
      <c r="D42" s="126"/>
      <c r="E42" s="109">
        <v>500</v>
      </c>
      <c r="F42" s="144">
        <f t="shared" si="5"/>
        <v>-885</v>
      </c>
      <c r="G42" s="128"/>
      <c r="H42" s="129"/>
      <c r="I42" s="91"/>
      <c r="J42" s="130"/>
      <c r="K42" s="130"/>
      <c r="L42" s="130"/>
      <c r="M42" s="130"/>
      <c r="N42" s="130"/>
      <c r="O42" s="130"/>
      <c r="P42" s="130"/>
      <c r="Q42" s="68">
        <v>1385</v>
      </c>
      <c r="R42" s="7">
        <f t="shared" si="0"/>
        <v>1385</v>
      </c>
      <c r="S42" s="7">
        <f t="shared" si="1"/>
        <v>885</v>
      </c>
    </row>
    <row r="43" spans="1:19" ht="15">
      <c r="A43" s="4" t="s">
        <v>19</v>
      </c>
      <c r="B43" s="109">
        <v>1000</v>
      </c>
      <c r="C43" s="64">
        <v>970.5</v>
      </c>
      <c r="D43" s="126"/>
      <c r="E43" s="109">
        <v>1500</v>
      </c>
      <c r="F43" s="144">
        <f t="shared" si="5"/>
        <v>500</v>
      </c>
      <c r="G43" s="128"/>
      <c r="H43" s="129"/>
      <c r="I43" s="91"/>
      <c r="J43" s="130"/>
      <c r="K43" s="130"/>
      <c r="L43" s="130"/>
      <c r="M43" s="130"/>
      <c r="N43" s="130"/>
      <c r="O43" s="130"/>
      <c r="P43" s="68"/>
      <c r="Q43" s="68">
        <v>1000</v>
      </c>
      <c r="R43" s="7">
        <f t="shared" si="0"/>
        <v>1000</v>
      </c>
      <c r="S43" s="7">
        <f t="shared" si="1"/>
        <v>-500</v>
      </c>
    </row>
    <row r="44" spans="1:19" ht="15.75" thickBot="1">
      <c r="A44" s="4" t="s">
        <v>126</v>
      </c>
      <c r="B44" s="112">
        <v>2000</v>
      </c>
      <c r="C44" s="147">
        <v>210.96</v>
      </c>
      <c r="D44" s="126"/>
      <c r="E44" s="112">
        <v>2000</v>
      </c>
      <c r="F44" s="144">
        <f t="shared" si="5"/>
        <v>0</v>
      </c>
      <c r="G44" s="141"/>
      <c r="H44" s="142"/>
      <c r="I44" s="111"/>
      <c r="J44" s="148"/>
      <c r="K44" s="148"/>
      <c r="L44" s="148"/>
      <c r="M44" s="148"/>
      <c r="N44" s="148"/>
      <c r="O44" s="148"/>
      <c r="P44" s="148"/>
      <c r="Q44" s="68">
        <v>2000</v>
      </c>
      <c r="R44" s="16">
        <f t="shared" si="0"/>
        <v>2000</v>
      </c>
      <c r="S44" s="7">
        <f t="shared" si="1"/>
        <v>0</v>
      </c>
    </row>
    <row r="45" spans="1:19" ht="15.75" thickBot="1">
      <c r="A45" s="48" t="s">
        <v>6</v>
      </c>
      <c r="B45" s="110">
        <f>SUM(B26:B44)</f>
        <v>178635</v>
      </c>
      <c r="C45" s="43">
        <f aca="true" t="shared" si="6" ref="C45:Q45">SUM(C26:C44)</f>
        <v>90949.65000000001</v>
      </c>
      <c r="D45" s="131">
        <f t="shared" si="6"/>
        <v>162507.2</v>
      </c>
      <c r="E45" s="110">
        <f t="shared" si="6"/>
        <v>206000</v>
      </c>
      <c r="F45" s="132">
        <f t="shared" si="6"/>
        <v>27365</v>
      </c>
      <c r="G45" s="133">
        <f t="shared" si="6"/>
        <v>66600</v>
      </c>
      <c r="H45" s="134">
        <f t="shared" si="6"/>
        <v>78600</v>
      </c>
      <c r="I45" s="135">
        <f t="shared" si="6"/>
        <v>0</v>
      </c>
      <c r="J45" s="136">
        <f t="shared" si="6"/>
        <v>0</v>
      </c>
      <c r="K45" s="136">
        <f t="shared" si="6"/>
        <v>0</v>
      </c>
      <c r="L45" s="136">
        <f t="shared" si="6"/>
        <v>0</v>
      </c>
      <c r="M45" s="136">
        <f t="shared" si="6"/>
        <v>0</v>
      </c>
      <c r="N45" s="136">
        <f t="shared" si="6"/>
        <v>0</v>
      </c>
      <c r="O45" s="136">
        <f t="shared" si="6"/>
        <v>0</v>
      </c>
      <c r="P45" s="136">
        <f t="shared" si="6"/>
        <v>0</v>
      </c>
      <c r="Q45" s="110">
        <f t="shared" si="6"/>
        <v>54635</v>
      </c>
      <c r="R45" s="12">
        <f t="shared" si="0"/>
        <v>199835</v>
      </c>
      <c r="S45" s="7">
        <f t="shared" si="1"/>
        <v>-6165</v>
      </c>
    </row>
    <row r="46" spans="1:19" ht="15">
      <c r="A46" s="46" t="s">
        <v>20</v>
      </c>
      <c r="B46" s="91"/>
      <c r="C46" s="137"/>
      <c r="D46" s="124"/>
      <c r="E46" s="91"/>
      <c r="F46" s="125"/>
      <c r="G46" s="128"/>
      <c r="H46" s="129"/>
      <c r="I46" s="91"/>
      <c r="J46" s="91"/>
      <c r="K46" s="91"/>
      <c r="L46" s="91"/>
      <c r="M46" s="91"/>
      <c r="N46" s="91"/>
      <c r="O46" s="91"/>
      <c r="P46" s="91"/>
      <c r="Q46" s="91"/>
      <c r="R46" s="13">
        <f t="shared" si="0"/>
        <v>0</v>
      </c>
      <c r="S46" s="7">
        <f t="shared" si="1"/>
        <v>0</v>
      </c>
    </row>
    <row r="47" spans="1:19" ht="15">
      <c r="A47" s="5" t="s">
        <v>21</v>
      </c>
      <c r="B47" s="109"/>
      <c r="C47" s="109"/>
      <c r="D47" s="126">
        <f>+C47*2</f>
        <v>0</v>
      </c>
      <c r="E47" s="109"/>
      <c r="F47" s="144">
        <f>+E47-D47</f>
        <v>0</v>
      </c>
      <c r="G47" s="128"/>
      <c r="H47" s="129"/>
      <c r="I47" s="91"/>
      <c r="J47" s="130"/>
      <c r="K47" s="130"/>
      <c r="L47" s="130"/>
      <c r="M47" s="130"/>
      <c r="N47" s="130"/>
      <c r="O47" s="130"/>
      <c r="P47" s="130"/>
      <c r="Q47" s="68"/>
      <c r="R47" s="7">
        <f t="shared" si="0"/>
        <v>0</v>
      </c>
      <c r="S47" s="7">
        <f t="shared" si="1"/>
        <v>0</v>
      </c>
    </row>
    <row r="48" spans="1:19" ht="15">
      <c r="A48" s="5" t="s">
        <v>153</v>
      </c>
      <c r="B48" s="109"/>
      <c r="C48" s="109"/>
      <c r="D48" s="126">
        <f>+C48*2</f>
        <v>0</v>
      </c>
      <c r="E48" s="109"/>
      <c r="F48" s="144">
        <f>+E48-D48</f>
        <v>0</v>
      </c>
      <c r="G48" s="128"/>
      <c r="H48" s="129"/>
      <c r="I48" s="91"/>
      <c r="J48" s="130"/>
      <c r="K48" s="130"/>
      <c r="L48" s="130"/>
      <c r="M48" s="130"/>
      <c r="N48" s="130"/>
      <c r="O48" s="130"/>
      <c r="P48" s="130"/>
      <c r="Q48" s="68"/>
      <c r="R48" s="7">
        <f t="shared" si="0"/>
        <v>0</v>
      </c>
      <c r="S48" s="7">
        <f t="shared" si="1"/>
        <v>0</v>
      </c>
    </row>
    <row r="49" spans="1:19" ht="15">
      <c r="A49" s="5" t="s">
        <v>22</v>
      </c>
      <c r="B49" s="109"/>
      <c r="C49" s="109"/>
      <c r="D49" s="126"/>
      <c r="E49" s="109"/>
      <c r="F49" s="144">
        <f>+E49-D49</f>
        <v>0</v>
      </c>
      <c r="G49" s="128"/>
      <c r="H49" s="129"/>
      <c r="I49" s="91"/>
      <c r="J49" s="130"/>
      <c r="K49" s="130"/>
      <c r="L49" s="130"/>
      <c r="M49" s="130"/>
      <c r="N49" s="130"/>
      <c r="O49" s="130"/>
      <c r="P49" s="130"/>
      <c r="Q49" s="68"/>
      <c r="R49" s="7">
        <f t="shared" si="0"/>
        <v>0</v>
      </c>
      <c r="S49" s="7">
        <f t="shared" si="1"/>
        <v>0</v>
      </c>
    </row>
    <row r="50" spans="1:19" ht="15.75" thickBot="1">
      <c r="A50" s="5" t="s">
        <v>169</v>
      </c>
      <c r="B50" s="109">
        <v>15000</v>
      </c>
      <c r="C50" s="149">
        <v>639</v>
      </c>
      <c r="D50" s="126"/>
      <c r="E50" s="109"/>
      <c r="F50" s="144"/>
      <c r="G50" s="128"/>
      <c r="H50" s="129"/>
      <c r="I50" s="91"/>
      <c r="J50" s="130"/>
      <c r="K50" s="130"/>
      <c r="L50" s="130"/>
      <c r="M50" s="130"/>
      <c r="N50" s="130"/>
      <c r="O50" s="130"/>
      <c r="P50" s="130"/>
      <c r="Q50" s="68">
        <v>15000</v>
      </c>
      <c r="R50" s="7">
        <f t="shared" si="0"/>
        <v>15000</v>
      </c>
      <c r="S50" s="7">
        <f t="shared" si="1"/>
        <v>15000</v>
      </c>
    </row>
    <row r="51" spans="1:19" ht="15.75" thickBot="1">
      <c r="A51" s="48" t="s">
        <v>6</v>
      </c>
      <c r="B51" s="110">
        <f>SUM(B47:B50)</f>
        <v>15000</v>
      </c>
      <c r="C51" s="43">
        <f aca="true" t="shared" si="7" ref="C51:Q51">SUM(C47:C50)</f>
        <v>639</v>
      </c>
      <c r="D51" s="131">
        <f>SUM(D47:D50)</f>
        <v>0</v>
      </c>
      <c r="E51" s="110">
        <v>15000</v>
      </c>
      <c r="F51" s="132">
        <f>SUM(F47:F50)</f>
        <v>0</v>
      </c>
      <c r="G51" s="133">
        <f t="shared" si="7"/>
        <v>0</v>
      </c>
      <c r="H51" s="134">
        <f t="shared" si="7"/>
        <v>0</v>
      </c>
      <c r="I51" s="135">
        <f t="shared" si="7"/>
        <v>0</v>
      </c>
      <c r="J51" s="136">
        <f>SUM(J47:J50)</f>
        <v>0</v>
      </c>
      <c r="K51" s="136">
        <f t="shared" si="7"/>
        <v>0</v>
      </c>
      <c r="L51" s="136">
        <f t="shared" si="7"/>
        <v>0</v>
      </c>
      <c r="M51" s="136">
        <f t="shared" si="7"/>
        <v>0</v>
      </c>
      <c r="N51" s="136">
        <f t="shared" si="7"/>
        <v>0</v>
      </c>
      <c r="O51" s="136">
        <f t="shared" si="7"/>
        <v>0</v>
      </c>
      <c r="P51" s="136">
        <f t="shared" si="7"/>
        <v>0</v>
      </c>
      <c r="Q51" s="110">
        <f t="shared" si="7"/>
        <v>15000</v>
      </c>
      <c r="R51" s="12">
        <f t="shared" si="0"/>
        <v>15000</v>
      </c>
      <c r="S51" s="7">
        <f t="shared" si="1"/>
        <v>0</v>
      </c>
    </row>
    <row r="52" spans="1:19" ht="15">
      <c r="A52" s="46" t="s">
        <v>23</v>
      </c>
      <c r="B52" s="91"/>
      <c r="C52" s="146"/>
      <c r="D52" s="124"/>
      <c r="E52" s="91"/>
      <c r="F52" s="125"/>
      <c r="G52" s="128"/>
      <c r="H52" s="129"/>
      <c r="I52" s="91"/>
      <c r="J52" s="91"/>
      <c r="K52" s="91"/>
      <c r="L52" s="91"/>
      <c r="M52" s="91"/>
      <c r="N52" s="91"/>
      <c r="O52" s="91"/>
      <c r="P52" s="91"/>
      <c r="Q52" s="91"/>
      <c r="R52" s="13">
        <f t="shared" si="0"/>
        <v>0</v>
      </c>
      <c r="S52" s="7">
        <f t="shared" si="1"/>
        <v>0</v>
      </c>
    </row>
    <row r="53" spans="1:19" ht="15">
      <c r="A53" s="4" t="s">
        <v>106</v>
      </c>
      <c r="B53" s="109">
        <v>0</v>
      </c>
      <c r="C53" s="64">
        <v>0</v>
      </c>
      <c r="D53" s="126"/>
      <c r="E53" s="109">
        <v>0</v>
      </c>
      <c r="F53" s="144"/>
      <c r="G53" s="128"/>
      <c r="H53" s="129"/>
      <c r="I53" s="91"/>
      <c r="J53" s="130"/>
      <c r="K53" s="130"/>
      <c r="L53" s="130"/>
      <c r="M53" s="130"/>
      <c r="N53" s="130"/>
      <c r="O53" s="130"/>
      <c r="P53" s="130"/>
      <c r="Q53" s="68">
        <v>0</v>
      </c>
      <c r="R53" s="7"/>
      <c r="S53" s="7">
        <f t="shared" si="1"/>
        <v>0</v>
      </c>
    </row>
    <row r="54" spans="1:19" ht="15">
      <c r="A54" s="4" t="s">
        <v>107</v>
      </c>
      <c r="B54" s="109">
        <v>0</v>
      </c>
      <c r="C54" s="64">
        <v>0</v>
      </c>
      <c r="D54" s="126"/>
      <c r="E54" s="109">
        <v>6650</v>
      </c>
      <c r="F54" s="144">
        <f>+E54-D54</f>
        <v>6650</v>
      </c>
      <c r="G54" s="128"/>
      <c r="H54" s="129"/>
      <c r="I54" s="91"/>
      <c r="J54" s="130"/>
      <c r="K54" s="130"/>
      <c r="L54" s="130"/>
      <c r="M54" s="130"/>
      <c r="N54" s="130"/>
      <c r="O54" s="130"/>
      <c r="P54" s="130"/>
      <c r="Q54" s="68">
        <f>+E54-G54-H54</f>
        <v>6650</v>
      </c>
      <c r="R54" s="7">
        <f>SUM(G54:Q54)</f>
        <v>6650</v>
      </c>
      <c r="S54" s="7">
        <f t="shared" si="1"/>
        <v>0</v>
      </c>
    </row>
    <row r="55" spans="1:19" ht="15">
      <c r="A55" s="4" t="s">
        <v>24</v>
      </c>
      <c r="B55" s="109">
        <v>0</v>
      </c>
      <c r="C55" s="64">
        <v>1010.4</v>
      </c>
      <c r="D55" s="126"/>
      <c r="E55" s="109">
        <v>1173</v>
      </c>
      <c r="F55" s="144">
        <f>+E55-D55</f>
        <v>1173</v>
      </c>
      <c r="G55" s="128"/>
      <c r="H55" s="129"/>
      <c r="I55" s="91"/>
      <c r="J55" s="130"/>
      <c r="K55" s="130"/>
      <c r="L55" s="130"/>
      <c r="M55" s="130"/>
      <c r="N55" s="130"/>
      <c r="O55" s="130"/>
      <c r="P55" s="130"/>
      <c r="Q55" s="68">
        <f>+E55-G55-H55</f>
        <v>1173</v>
      </c>
      <c r="R55" s="7">
        <f t="shared" si="0"/>
        <v>1173</v>
      </c>
      <c r="S55" s="7">
        <f t="shared" si="1"/>
        <v>0</v>
      </c>
    </row>
    <row r="56" spans="1:19" ht="15">
      <c r="A56" s="4" t="s">
        <v>25</v>
      </c>
      <c r="B56" s="109">
        <v>0</v>
      </c>
      <c r="C56" s="64">
        <v>150</v>
      </c>
      <c r="D56" s="126"/>
      <c r="E56" s="109">
        <v>100</v>
      </c>
      <c r="F56" s="144">
        <f>+E56-D56</f>
        <v>100</v>
      </c>
      <c r="G56" s="128"/>
      <c r="H56" s="129"/>
      <c r="I56" s="91"/>
      <c r="J56" s="130"/>
      <c r="K56" s="130"/>
      <c r="L56" s="130"/>
      <c r="M56" s="130"/>
      <c r="N56" s="130"/>
      <c r="O56" s="130"/>
      <c r="P56" s="130"/>
      <c r="Q56" s="68"/>
      <c r="R56" s="7">
        <f t="shared" si="0"/>
        <v>0</v>
      </c>
      <c r="S56" s="7">
        <f t="shared" si="1"/>
        <v>-100</v>
      </c>
    </row>
    <row r="57" spans="1:19" ht="15.75" thickBot="1">
      <c r="A57" s="4" t="s">
        <v>26</v>
      </c>
      <c r="B57" s="112">
        <v>10630</v>
      </c>
      <c r="C57" s="65">
        <v>5002</v>
      </c>
      <c r="D57" s="126"/>
      <c r="E57" s="112">
        <v>10000</v>
      </c>
      <c r="F57" s="144">
        <f>+E57-B57</f>
        <v>-630</v>
      </c>
      <c r="G57" s="141"/>
      <c r="H57" s="142"/>
      <c r="I57" s="111"/>
      <c r="J57" s="148"/>
      <c r="K57" s="148"/>
      <c r="L57" s="148"/>
      <c r="M57" s="148"/>
      <c r="N57" s="148"/>
      <c r="O57" s="148"/>
      <c r="P57" s="148"/>
      <c r="Q57" s="68">
        <v>10630</v>
      </c>
      <c r="R57" s="16">
        <f t="shared" si="0"/>
        <v>10630</v>
      </c>
      <c r="S57" s="7">
        <f t="shared" si="1"/>
        <v>630</v>
      </c>
    </row>
    <row r="58" spans="1:19" ht="15.75" thickBot="1">
      <c r="A58" s="48" t="s">
        <v>6</v>
      </c>
      <c r="B58" s="110">
        <f>SUM(B52:B57)</f>
        <v>10630</v>
      </c>
      <c r="C58" s="43">
        <f aca="true" t="shared" si="8" ref="C58:Q58">SUM(C52:C57)</f>
        <v>6162.4</v>
      </c>
      <c r="D58" s="131">
        <f>SUM(D52:D57)</f>
        <v>0</v>
      </c>
      <c r="E58" s="110">
        <f>SUM(E52:E57)</f>
        <v>17923</v>
      </c>
      <c r="F58" s="132">
        <f>SUM(F52:F57)</f>
        <v>7293</v>
      </c>
      <c r="G58" s="133">
        <f t="shared" si="8"/>
        <v>0</v>
      </c>
      <c r="H58" s="134">
        <f t="shared" si="8"/>
        <v>0</v>
      </c>
      <c r="I58" s="135">
        <f t="shared" si="8"/>
        <v>0</v>
      </c>
      <c r="J58" s="136">
        <f>SUM(J52:J57)</f>
        <v>0</v>
      </c>
      <c r="K58" s="136">
        <f t="shared" si="8"/>
        <v>0</v>
      </c>
      <c r="L58" s="136">
        <f t="shared" si="8"/>
        <v>0</v>
      </c>
      <c r="M58" s="136">
        <f t="shared" si="8"/>
        <v>0</v>
      </c>
      <c r="N58" s="136">
        <f t="shared" si="8"/>
        <v>0</v>
      </c>
      <c r="O58" s="136">
        <f t="shared" si="8"/>
        <v>0</v>
      </c>
      <c r="P58" s="136">
        <f t="shared" si="8"/>
        <v>0</v>
      </c>
      <c r="Q58" s="110">
        <f t="shared" si="8"/>
        <v>18453</v>
      </c>
      <c r="R58" s="12">
        <f t="shared" si="0"/>
        <v>18453</v>
      </c>
      <c r="S58" s="7">
        <f t="shared" si="1"/>
        <v>530</v>
      </c>
    </row>
    <row r="59" spans="1:19" ht="16.5" thickBot="1">
      <c r="A59" s="49" t="s">
        <v>27</v>
      </c>
      <c r="B59" s="113">
        <f>B12+B24+B45+B51+B58</f>
        <v>749365</v>
      </c>
      <c r="C59" s="98">
        <f aca="true" t="shared" si="9" ref="C59:Q59">C12+C24+C45+C51+C58</f>
        <v>385784.11000000004</v>
      </c>
      <c r="D59" s="150">
        <f t="shared" si="9"/>
        <v>672963.3200000001</v>
      </c>
      <c r="E59" s="113">
        <f t="shared" si="9"/>
        <v>785872</v>
      </c>
      <c r="F59" s="151">
        <f t="shared" si="9"/>
        <v>36507</v>
      </c>
      <c r="G59" s="152">
        <f t="shared" si="9"/>
        <v>190480</v>
      </c>
      <c r="H59" s="153">
        <f t="shared" si="9"/>
        <v>180081</v>
      </c>
      <c r="I59" s="154">
        <f t="shared" si="9"/>
        <v>0</v>
      </c>
      <c r="J59" s="155">
        <f t="shared" si="9"/>
        <v>0</v>
      </c>
      <c r="K59" s="155">
        <f t="shared" si="9"/>
        <v>0</v>
      </c>
      <c r="L59" s="155">
        <f t="shared" si="9"/>
        <v>0</v>
      </c>
      <c r="M59" s="155">
        <f t="shared" si="9"/>
        <v>0</v>
      </c>
      <c r="N59" s="155">
        <f t="shared" si="9"/>
        <v>0</v>
      </c>
      <c r="O59" s="155">
        <f t="shared" si="9"/>
        <v>0</v>
      </c>
      <c r="P59" s="155">
        <f t="shared" si="9"/>
        <v>0</v>
      </c>
      <c r="Q59" s="155">
        <f t="shared" si="9"/>
        <v>420150</v>
      </c>
      <c r="R59" s="17">
        <f t="shared" si="0"/>
        <v>790711</v>
      </c>
      <c r="S59" s="7">
        <f t="shared" si="1"/>
        <v>4839</v>
      </c>
    </row>
    <row r="60" spans="1:19" ht="17.25" thickBot="1" thickTop="1">
      <c r="A60" s="70"/>
      <c r="B60" s="99"/>
      <c r="C60" s="99"/>
      <c r="D60" s="156"/>
      <c r="E60" s="99"/>
      <c r="F60" s="99"/>
      <c r="G60" s="157"/>
      <c r="H60" s="129"/>
      <c r="I60" s="91"/>
      <c r="J60" s="68"/>
      <c r="K60" s="68"/>
      <c r="L60" s="68"/>
      <c r="M60" s="68"/>
      <c r="N60" s="68"/>
      <c r="O60" s="68"/>
      <c r="P60" s="68"/>
      <c r="Q60" s="68"/>
      <c r="R60" s="7">
        <f t="shared" si="0"/>
        <v>0</v>
      </c>
      <c r="S60" s="7">
        <f t="shared" si="1"/>
        <v>0</v>
      </c>
    </row>
    <row r="61" spans="1:19" ht="18">
      <c r="A61" s="75"/>
      <c r="B61" s="104" t="s">
        <v>61</v>
      </c>
      <c r="C61" s="158" t="s">
        <v>105</v>
      </c>
      <c r="D61" s="117" t="s">
        <v>110</v>
      </c>
      <c r="E61" s="104" t="s">
        <v>61</v>
      </c>
      <c r="F61" s="118" t="s">
        <v>113</v>
      </c>
      <c r="G61" s="83" t="s">
        <v>63</v>
      </c>
      <c r="H61" s="76" t="s">
        <v>64</v>
      </c>
      <c r="I61" s="38" t="s">
        <v>66</v>
      </c>
      <c r="J61" s="6" t="s">
        <v>65</v>
      </c>
      <c r="K61" s="6" t="s">
        <v>67</v>
      </c>
      <c r="L61" s="6" t="s">
        <v>68</v>
      </c>
      <c r="M61" s="6" t="s">
        <v>69</v>
      </c>
      <c r="N61" s="6" t="s">
        <v>70</v>
      </c>
      <c r="O61" s="6" t="s">
        <v>71</v>
      </c>
      <c r="P61" s="6" t="s">
        <v>72</v>
      </c>
      <c r="Q61" s="6" t="s">
        <v>114</v>
      </c>
      <c r="R61" s="7"/>
      <c r="S61" s="7"/>
    </row>
    <row r="62" spans="1:19" ht="18.75" thickBot="1">
      <c r="A62" s="50"/>
      <c r="B62" s="106" t="str">
        <f>+B4</f>
        <v>2019-2020</v>
      </c>
      <c r="C62" s="106" t="str">
        <f>+C4</f>
        <v>Jul-Dec</v>
      </c>
      <c r="D62" s="106" t="str">
        <f>+D4</f>
        <v>2019-2020</v>
      </c>
      <c r="E62" s="106" t="str">
        <f>+E4</f>
        <v>2020-2021</v>
      </c>
      <c r="F62" s="159" t="s">
        <v>112</v>
      </c>
      <c r="G62" s="97" t="s">
        <v>73</v>
      </c>
      <c r="H62" s="77" t="s">
        <v>74</v>
      </c>
      <c r="I62" s="39" t="s">
        <v>74</v>
      </c>
      <c r="J62" s="8" t="s">
        <v>74</v>
      </c>
      <c r="K62" s="8" t="s">
        <v>74</v>
      </c>
      <c r="L62" s="8" t="s">
        <v>75</v>
      </c>
      <c r="M62" s="8" t="s">
        <v>75</v>
      </c>
      <c r="N62" s="8" t="s">
        <v>75</v>
      </c>
      <c r="O62" s="8" t="s">
        <v>76</v>
      </c>
      <c r="P62" s="8" t="s">
        <v>74</v>
      </c>
      <c r="Q62" s="8" t="s">
        <v>75</v>
      </c>
      <c r="R62" s="9" t="s">
        <v>62</v>
      </c>
      <c r="S62" s="7"/>
    </row>
    <row r="63" spans="1:19" ht="18.75" thickBot="1">
      <c r="A63" s="71" t="s">
        <v>28</v>
      </c>
      <c r="B63" s="104"/>
      <c r="C63" s="121"/>
      <c r="D63" s="122"/>
      <c r="E63" s="104"/>
      <c r="F63" s="123"/>
      <c r="G63" s="85"/>
      <c r="H63" s="78"/>
      <c r="I63" s="53"/>
      <c r="J63" s="54"/>
      <c r="K63" s="54"/>
      <c r="L63" s="54"/>
      <c r="M63" s="54"/>
      <c r="N63" s="54"/>
      <c r="O63" s="54"/>
      <c r="P63" s="54"/>
      <c r="Q63" s="54"/>
      <c r="R63" s="55"/>
      <c r="S63" s="7"/>
    </row>
    <row r="64" spans="1:19" ht="15">
      <c r="A64" s="46" t="s">
        <v>29</v>
      </c>
      <c r="B64" s="91"/>
      <c r="C64" s="91"/>
      <c r="D64" s="124"/>
      <c r="E64" s="91"/>
      <c r="F64" s="125"/>
      <c r="G64" s="128"/>
      <c r="H64" s="129"/>
      <c r="I64" s="91"/>
      <c r="J64" s="91"/>
      <c r="K64" s="91"/>
      <c r="L64" s="91"/>
      <c r="M64" s="91"/>
      <c r="N64" s="91"/>
      <c r="O64" s="91"/>
      <c r="P64" s="91"/>
      <c r="Q64" s="91"/>
      <c r="R64" s="13">
        <f t="shared" si="0"/>
        <v>0</v>
      </c>
      <c r="S64" s="7">
        <f aca="true" t="shared" si="10" ref="S64:S129">+R64-E64</f>
        <v>0</v>
      </c>
    </row>
    <row r="65" spans="1:19" ht="15">
      <c r="A65" s="4" t="s">
        <v>150</v>
      </c>
      <c r="B65" s="109">
        <v>1000</v>
      </c>
      <c r="C65" s="64">
        <v>130.56</v>
      </c>
      <c r="D65" s="126">
        <v>1000</v>
      </c>
      <c r="E65" s="109">
        <v>1000</v>
      </c>
      <c r="F65" s="144">
        <f aca="true" t="shared" si="11" ref="F65:F128">+E65-B65</f>
        <v>0</v>
      </c>
      <c r="G65" s="128">
        <f>+E65*0.0814</f>
        <v>81.4</v>
      </c>
      <c r="H65" s="129">
        <f>+E65*0.1212</f>
        <v>121.2</v>
      </c>
      <c r="I65" s="91"/>
      <c r="J65" s="130"/>
      <c r="K65" s="130"/>
      <c r="L65" s="130"/>
      <c r="M65" s="130"/>
      <c r="N65" s="130"/>
      <c r="O65" s="130"/>
      <c r="P65" s="109"/>
      <c r="Q65" s="68">
        <v>794</v>
      </c>
      <c r="R65" s="13">
        <f t="shared" si="0"/>
        <v>996.6</v>
      </c>
      <c r="S65" s="7">
        <f t="shared" si="10"/>
        <v>-3.3999999999999773</v>
      </c>
    </row>
    <row r="66" spans="1:19" ht="15">
      <c r="A66" s="4" t="s">
        <v>151</v>
      </c>
      <c r="B66" s="109">
        <v>2700</v>
      </c>
      <c r="C66" s="64">
        <v>0</v>
      </c>
      <c r="D66" s="126">
        <v>2700</v>
      </c>
      <c r="E66" s="109">
        <v>2800</v>
      </c>
      <c r="F66" s="144">
        <f t="shared" si="11"/>
        <v>100</v>
      </c>
      <c r="G66" s="128">
        <f aca="true" t="shared" si="12" ref="G66:G80">+E66*0.0814</f>
        <v>227.92</v>
      </c>
      <c r="H66" s="129">
        <f aca="true" t="shared" si="13" ref="H66:H81">+E66*0.1212</f>
        <v>339.36</v>
      </c>
      <c r="I66" s="91"/>
      <c r="J66" s="130"/>
      <c r="K66" s="130"/>
      <c r="L66" s="130"/>
      <c r="M66" s="130"/>
      <c r="N66" s="130"/>
      <c r="O66" s="130"/>
      <c r="P66" s="109"/>
      <c r="Q66" s="68">
        <v>2143</v>
      </c>
      <c r="R66" s="13">
        <f t="shared" si="0"/>
        <v>2710.2799999999997</v>
      </c>
      <c r="S66" s="7">
        <f t="shared" si="10"/>
        <v>-89.72000000000025</v>
      </c>
    </row>
    <row r="67" spans="1:19" ht="15">
      <c r="A67" s="4" t="s">
        <v>152</v>
      </c>
      <c r="B67" s="109">
        <v>1000</v>
      </c>
      <c r="C67" s="64">
        <v>86.41</v>
      </c>
      <c r="D67" s="126">
        <v>500</v>
      </c>
      <c r="E67" s="109">
        <v>500</v>
      </c>
      <c r="F67" s="144">
        <f t="shared" si="11"/>
        <v>-500</v>
      </c>
      <c r="G67" s="128">
        <f t="shared" si="12"/>
        <v>40.7</v>
      </c>
      <c r="H67" s="129">
        <f t="shared" si="13"/>
        <v>60.6</v>
      </c>
      <c r="I67" s="91"/>
      <c r="J67" s="130"/>
      <c r="K67" s="130"/>
      <c r="L67" s="130"/>
      <c r="M67" s="130"/>
      <c r="N67" s="130"/>
      <c r="O67" s="130"/>
      <c r="P67" s="109"/>
      <c r="Q67" s="68">
        <v>794</v>
      </c>
      <c r="R67" s="13">
        <f t="shared" si="0"/>
        <v>895.3</v>
      </c>
      <c r="S67" s="7">
        <f t="shared" si="10"/>
        <v>395.29999999999995</v>
      </c>
    </row>
    <row r="68" spans="1:19" ht="15">
      <c r="A68" s="46" t="s">
        <v>30</v>
      </c>
      <c r="B68" s="91"/>
      <c r="C68" s="90"/>
      <c r="D68" s="124"/>
      <c r="E68" s="91"/>
      <c r="F68" s="160">
        <f t="shared" si="11"/>
        <v>0</v>
      </c>
      <c r="G68" s="128">
        <f t="shared" si="12"/>
        <v>0</v>
      </c>
      <c r="H68" s="129">
        <f t="shared" si="13"/>
        <v>0</v>
      </c>
      <c r="I68" s="91"/>
      <c r="J68" s="91"/>
      <c r="K68" s="91"/>
      <c r="L68" s="91"/>
      <c r="M68" s="91"/>
      <c r="N68" s="91"/>
      <c r="O68" s="91"/>
      <c r="P68" s="91"/>
      <c r="Q68" s="91"/>
      <c r="R68" s="13">
        <f t="shared" si="0"/>
        <v>0</v>
      </c>
      <c r="S68" s="7">
        <f t="shared" si="10"/>
        <v>0</v>
      </c>
    </row>
    <row r="69" spans="1:19" ht="15">
      <c r="A69" s="46" t="s">
        <v>31</v>
      </c>
      <c r="B69" s="91"/>
      <c r="C69" s="91"/>
      <c r="D69" s="124"/>
      <c r="E69" s="91"/>
      <c r="F69" s="125">
        <f t="shared" si="11"/>
        <v>0</v>
      </c>
      <c r="G69" s="128">
        <f t="shared" si="12"/>
        <v>0</v>
      </c>
      <c r="H69" s="129">
        <f t="shared" si="13"/>
        <v>0</v>
      </c>
      <c r="I69" s="91"/>
      <c r="J69" s="91"/>
      <c r="K69" s="91"/>
      <c r="L69" s="91"/>
      <c r="M69" s="91"/>
      <c r="N69" s="91"/>
      <c r="O69" s="91"/>
      <c r="P69" s="91"/>
      <c r="Q69" s="91"/>
      <c r="R69" s="13">
        <f t="shared" si="0"/>
        <v>0</v>
      </c>
      <c r="S69" s="7">
        <f t="shared" si="10"/>
        <v>0</v>
      </c>
    </row>
    <row r="70" spans="1:19" ht="15">
      <c r="A70" s="46" t="s">
        <v>32</v>
      </c>
      <c r="B70" s="91"/>
      <c r="C70" s="91"/>
      <c r="D70" s="124"/>
      <c r="E70" s="91"/>
      <c r="F70" s="125">
        <f t="shared" si="11"/>
        <v>0</v>
      </c>
      <c r="G70" s="128">
        <f t="shared" si="12"/>
        <v>0</v>
      </c>
      <c r="H70" s="129">
        <f t="shared" si="13"/>
        <v>0</v>
      </c>
      <c r="I70" s="91"/>
      <c r="J70" s="91"/>
      <c r="K70" s="91"/>
      <c r="L70" s="91"/>
      <c r="M70" s="91"/>
      <c r="N70" s="91"/>
      <c r="O70" s="91"/>
      <c r="P70" s="91"/>
      <c r="Q70" s="91"/>
      <c r="R70" s="13">
        <f t="shared" si="0"/>
        <v>0</v>
      </c>
      <c r="S70" s="7">
        <f t="shared" si="10"/>
        <v>0</v>
      </c>
    </row>
    <row r="71" spans="1:19" ht="15">
      <c r="A71" s="4" t="s">
        <v>172</v>
      </c>
      <c r="B71" s="109">
        <v>2500</v>
      </c>
      <c r="C71" s="64">
        <v>0</v>
      </c>
      <c r="D71" s="126"/>
      <c r="E71" s="109">
        <v>0</v>
      </c>
      <c r="F71" s="144">
        <f t="shared" si="11"/>
        <v>-2500</v>
      </c>
      <c r="G71" s="128">
        <f t="shared" si="12"/>
        <v>0</v>
      </c>
      <c r="H71" s="129">
        <f t="shared" si="13"/>
        <v>0</v>
      </c>
      <c r="I71" s="91"/>
      <c r="J71" s="109"/>
      <c r="K71" s="130"/>
      <c r="L71" s="109"/>
      <c r="M71" s="109"/>
      <c r="N71" s="109"/>
      <c r="O71" s="109"/>
      <c r="P71" s="68"/>
      <c r="Q71" s="68">
        <v>1985</v>
      </c>
      <c r="R71" s="13">
        <f t="shared" si="0"/>
        <v>1985</v>
      </c>
      <c r="S71" s="7">
        <f t="shared" si="10"/>
        <v>1985</v>
      </c>
    </row>
    <row r="72" spans="1:19" ht="15">
      <c r="A72" s="4" t="s">
        <v>117</v>
      </c>
      <c r="B72" s="109">
        <v>1100</v>
      </c>
      <c r="C72" s="64">
        <v>557.88</v>
      </c>
      <c r="D72" s="126"/>
      <c r="E72" s="109">
        <v>1100</v>
      </c>
      <c r="F72" s="144">
        <f t="shared" si="11"/>
        <v>0</v>
      </c>
      <c r="G72" s="128">
        <f t="shared" si="12"/>
        <v>89.54</v>
      </c>
      <c r="H72" s="129">
        <f t="shared" si="13"/>
        <v>133.32</v>
      </c>
      <c r="I72" s="91"/>
      <c r="J72" s="109"/>
      <c r="K72" s="130"/>
      <c r="L72" s="109"/>
      <c r="M72" s="109"/>
      <c r="N72" s="109"/>
      <c r="O72" s="109"/>
      <c r="P72" s="68"/>
      <c r="Q72" s="68">
        <v>873</v>
      </c>
      <c r="R72" s="13">
        <f t="shared" si="0"/>
        <v>1095.8600000000001</v>
      </c>
      <c r="S72" s="7">
        <f t="shared" si="10"/>
        <v>-4.139999999999873</v>
      </c>
    </row>
    <row r="73" spans="1:19" ht="15">
      <c r="A73" s="4" t="s">
        <v>121</v>
      </c>
      <c r="B73" s="109">
        <v>1200</v>
      </c>
      <c r="C73" s="63">
        <v>429.89</v>
      </c>
      <c r="D73" s="126"/>
      <c r="E73" s="109">
        <v>1000</v>
      </c>
      <c r="F73" s="144">
        <f t="shared" si="11"/>
        <v>-200</v>
      </c>
      <c r="G73" s="128">
        <f t="shared" si="12"/>
        <v>81.4</v>
      </c>
      <c r="H73" s="129">
        <f t="shared" si="13"/>
        <v>121.2</v>
      </c>
      <c r="I73" s="91"/>
      <c r="J73" s="109"/>
      <c r="K73" s="130"/>
      <c r="L73" s="109"/>
      <c r="M73" s="109"/>
      <c r="N73" s="109"/>
      <c r="O73" s="109"/>
      <c r="P73" s="68"/>
      <c r="Q73" s="68">
        <v>953</v>
      </c>
      <c r="R73" s="13">
        <f t="shared" si="0"/>
        <v>1155.6</v>
      </c>
      <c r="S73" s="7">
        <f t="shared" si="10"/>
        <v>155.5999999999999</v>
      </c>
    </row>
    <row r="74" spans="1:19" ht="15">
      <c r="A74" s="4" t="s">
        <v>33</v>
      </c>
      <c r="B74" s="109">
        <v>1000</v>
      </c>
      <c r="C74" s="63">
        <v>145</v>
      </c>
      <c r="D74" s="126"/>
      <c r="E74" s="109">
        <v>500</v>
      </c>
      <c r="F74" s="144">
        <f t="shared" si="11"/>
        <v>-500</v>
      </c>
      <c r="G74" s="128">
        <f t="shared" si="12"/>
        <v>40.7</v>
      </c>
      <c r="H74" s="129">
        <f t="shared" si="13"/>
        <v>60.6</v>
      </c>
      <c r="I74" s="91"/>
      <c r="J74" s="130"/>
      <c r="K74" s="130"/>
      <c r="L74" s="130"/>
      <c r="M74" s="130"/>
      <c r="N74" s="130"/>
      <c r="O74" s="130"/>
      <c r="P74" s="130"/>
      <c r="Q74" s="68">
        <v>794</v>
      </c>
      <c r="R74" s="13">
        <f t="shared" si="0"/>
        <v>895.3</v>
      </c>
      <c r="S74" s="7">
        <f t="shared" si="10"/>
        <v>395.29999999999995</v>
      </c>
    </row>
    <row r="75" spans="1:19" ht="15">
      <c r="A75" s="4" t="s">
        <v>34</v>
      </c>
      <c r="B75" s="109">
        <v>2500</v>
      </c>
      <c r="C75" s="68">
        <v>1216.44</v>
      </c>
      <c r="D75" s="126"/>
      <c r="E75" s="109">
        <v>2500</v>
      </c>
      <c r="F75" s="144">
        <f t="shared" si="11"/>
        <v>0</v>
      </c>
      <c r="G75" s="128">
        <f t="shared" si="12"/>
        <v>203.5</v>
      </c>
      <c r="H75" s="129">
        <f t="shared" si="13"/>
        <v>303</v>
      </c>
      <c r="I75" s="91"/>
      <c r="J75" s="109"/>
      <c r="K75" s="130"/>
      <c r="L75" s="109"/>
      <c r="M75" s="109"/>
      <c r="N75" s="109"/>
      <c r="O75" s="109"/>
      <c r="P75" s="68"/>
      <c r="Q75" s="68">
        <v>1985</v>
      </c>
      <c r="R75" s="13">
        <f t="shared" si="0"/>
        <v>2491.5</v>
      </c>
      <c r="S75" s="7">
        <f t="shared" si="10"/>
        <v>-8.5</v>
      </c>
    </row>
    <row r="76" spans="1:19" ht="15">
      <c r="A76" s="46" t="s">
        <v>35</v>
      </c>
      <c r="B76" s="91"/>
      <c r="C76" s="90"/>
      <c r="D76" s="124"/>
      <c r="E76" s="91"/>
      <c r="F76" s="125">
        <f t="shared" si="11"/>
        <v>0</v>
      </c>
      <c r="G76" s="128">
        <f t="shared" si="12"/>
        <v>0</v>
      </c>
      <c r="H76" s="129">
        <f t="shared" si="13"/>
        <v>0</v>
      </c>
      <c r="I76" s="91"/>
      <c r="J76" s="91"/>
      <c r="K76" s="91"/>
      <c r="L76" s="91"/>
      <c r="M76" s="91"/>
      <c r="N76" s="91"/>
      <c r="O76" s="91"/>
      <c r="P76" s="91"/>
      <c r="Q76" s="91"/>
      <c r="R76" s="13">
        <f t="shared" si="0"/>
        <v>0</v>
      </c>
      <c r="S76" s="7">
        <f t="shared" si="10"/>
        <v>0</v>
      </c>
    </row>
    <row r="77" spans="1:19" ht="15">
      <c r="A77" s="4" t="s">
        <v>36</v>
      </c>
      <c r="B77" s="109">
        <v>38400</v>
      </c>
      <c r="C77" s="63">
        <v>19200</v>
      </c>
      <c r="D77" s="126">
        <v>38400</v>
      </c>
      <c r="E77" s="109">
        <v>38400</v>
      </c>
      <c r="F77" s="144">
        <f t="shared" si="11"/>
        <v>0</v>
      </c>
      <c r="G77" s="128">
        <f t="shared" si="12"/>
        <v>3125.76</v>
      </c>
      <c r="H77" s="129">
        <f t="shared" si="13"/>
        <v>4654.08</v>
      </c>
      <c r="I77" s="91"/>
      <c r="J77" s="68"/>
      <c r="K77" s="130"/>
      <c r="L77" s="109"/>
      <c r="M77" s="109"/>
      <c r="N77" s="109"/>
      <c r="O77" s="109"/>
      <c r="P77" s="130"/>
      <c r="Q77" s="68">
        <v>30482</v>
      </c>
      <c r="R77" s="13">
        <f aca="true" t="shared" si="14" ref="R77:R130">SUM(G77:Q77)</f>
        <v>38261.84</v>
      </c>
      <c r="S77" s="7">
        <f t="shared" si="10"/>
        <v>-138.1600000000035</v>
      </c>
    </row>
    <row r="78" spans="1:19" ht="15">
      <c r="A78" s="4" t="s">
        <v>37</v>
      </c>
      <c r="B78" s="109">
        <v>1600</v>
      </c>
      <c r="C78" s="68">
        <v>600</v>
      </c>
      <c r="D78" s="126">
        <f>600+675</f>
        <v>1275</v>
      </c>
      <c r="E78" s="109">
        <v>1300</v>
      </c>
      <c r="F78" s="144">
        <f t="shared" si="11"/>
        <v>-300</v>
      </c>
      <c r="G78" s="128">
        <f t="shared" si="12"/>
        <v>105.82</v>
      </c>
      <c r="H78" s="129">
        <f t="shared" si="13"/>
        <v>157.56</v>
      </c>
      <c r="I78" s="91"/>
      <c r="J78" s="68"/>
      <c r="K78" s="130"/>
      <c r="L78" s="109"/>
      <c r="M78" s="109"/>
      <c r="N78" s="109"/>
      <c r="O78" s="109"/>
      <c r="P78" s="130"/>
      <c r="Q78" s="68">
        <v>1270</v>
      </c>
      <c r="R78" s="13">
        <f t="shared" si="14"/>
        <v>1533.38</v>
      </c>
      <c r="S78" s="7">
        <f t="shared" si="10"/>
        <v>233.3800000000001</v>
      </c>
    </row>
    <row r="79" spans="1:19" ht="15">
      <c r="A79" s="46" t="s">
        <v>38</v>
      </c>
      <c r="B79" s="91"/>
      <c r="C79" s="90"/>
      <c r="D79" s="124"/>
      <c r="E79" s="91"/>
      <c r="F79" s="125">
        <f t="shared" si="11"/>
        <v>0</v>
      </c>
      <c r="G79" s="128">
        <f t="shared" si="12"/>
        <v>0</v>
      </c>
      <c r="H79" s="129">
        <f t="shared" si="13"/>
        <v>0</v>
      </c>
      <c r="I79" s="91"/>
      <c r="J79" s="91"/>
      <c r="K79" s="91"/>
      <c r="L79" s="91"/>
      <c r="M79" s="91"/>
      <c r="N79" s="91"/>
      <c r="O79" s="91"/>
      <c r="P79" s="91"/>
      <c r="Q79" s="91"/>
      <c r="R79" s="13">
        <f t="shared" si="14"/>
        <v>0</v>
      </c>
      <c r="S79" s="7">
        <f t="shared" si="10"/>
        <v>0</v>
      </c>
    </row>
    <row r="80" spans="1:19" ht="15">
      <c r="A80" s="4" t="s">
        <v>127</v>
      </c>
      <c r="B80" s="109">
        <v>11000</v>
      </c>
      <c r="C80" s="68">
        <v>7828.6</v>
      </c>
      <c r="D80" s="126"/>
      <c r="E80" s="109">
        <v>14400</v>
      </c>
      <c r="F80" s="144">
        <f t="shared" si="11"/>
        <v>3400</v>
      </c>
      <c r="G80" s="128">
        <f t="shared" si="12"/>
        <v>1172.16</v>
      </c>
      <c r="H80" s="129">
        <f t="shared" si="13"/>
        <v>1745.28</v>
      </c>
      <c r="I80" s="91"/>
      <c r="J80" s="109"/>
      <c r="K80" s="130"/>
      <c r="L80" s="130"/>
      <c r="M80" s="130"/>
      <c r="N80" s="130"/>
      <c r="O80" s="130"/>
      <c r="P80" s="130"/>
      <c r="Q80" s="68">
        <v>8732</v>
      </c>
      <c r="R80" s="13">
        <f t="shared" si="14"/>
        <v>11649.44</v>
      </c>
      <c r="S80" s="7">
        <f t="shared" si="10"/>
        <v>-2750.5599999999995</v>
      </c>
    </row>
    <row r="81" spans="1:19" ht="15">
      <c r="A81" s="46" t="s">
        <v>39</v>
      </c>
      <c r="B81" s="91"/>
      <c r="C81" s="90"/>
      <c r="D81" s="124"/>
      <c r="E81" s="91"/>
      <c r="F81" s="125">
        <f t="shared" si="11"/>
        <v>0</v>
      </c>
      <c r="G81" s="128">
        <f>+E81*0.0861</f>
        <v>0</v>
      </c>
      <c r="H81" s="129">
        <f t="shared" si="13"/>
        <v>0</v>
      </c>
      <c r="I81" s="91"/>
      <c r="J81" s="91"/>
      <c r="K81" s="91"/>
      <c r="L81" s="91"/>
      <c r="M81" s="91"/>
      <c r="N81" s="91"/>
      <c r="O81" s="91"/>
      <c r="P81" s="91"/>
      <c r="Q81" s="91"/>
      <c r="R81" s="13">
        <f t="shared" si="14"/>
        <v>0</v>
      </c>
      <c r="S81" s="7">
        <f t="shared" si="10"/>
        <v>0</v>
      </c>
    </row>
    <row r="82" spans="1:19" ht="15">
      <c r="A82" s="51" t="s">
        <v>128</v>
      </c>
      <c r="B82" s="68">
        <v>418145</v>
      </c>
      <c r="C82" s="64">
        <v>164459.896</v>
      </c>
      <c r="D82" s="126">
        <v>351800</v>
      </c>
      <c r="E82" s="68">
        <f>+'$2 increase'!E47</f>
        <v>495958.83999999997</v>
      </c>
      <c r="F82" s="144">
        <f t="shared" si="11"/>
        <v>77813.83999999997</v>
      </c>
      <c r="G82" s="128">
        <f>+ADC!E20</f>
        <v>139596.6</v>
      </c>
      <c r="H82" s="129">
        <f>+Nutrition!E17</f>
        <v>94462.16</v>
      </c>
      <c r="I82" s="91"/>
      <c r="J82" s="161"/>
      <c r="K82" s="130"/>
      <c r="L82" s="68"/>
      <c r="M82" s="68"/>
      <c r="N82" s="68"/>
      <c r="O82" s="68"/>
      <c r="P82" s="68"/>
      <c r="Q82" s="68">
        <v>206669</v>
      </c>
      <c r="R82" s="13">
        <f t="shared" si="14"/>
        <v>440727.76</v>
      </c>
      <c r="S82" s="7">
        <f t="shared" si="10"/>
        <v>-55231.07999999996</v>
      </c>
    </row>
    <row r="83" spans="1:19" ht="15">
      <c r="A83" s="51" t="s">
        <v>129</v>
      </c>
      <c r="B83" s="68">
        <v>31106</v>
      </c>
      <c r="C83" s="64">
        <v>14022.9</v>
      </c>
      <c r="D83" s="126">
        <v>29609</v>
      </c>
      <c r="E83" s="68">
        <f>+'$2 increase'!F47</f>
        <v>36103.01526</v>
      </c>
      <c r="F83" s="144">
        <f t="shared" si="11"/>
        <v>4997.01526</v>
      </c>
      <c r="G83" s="128">
        <f>+ADC!F20</f>
        <v>8841.303899999999</v>
      </c>
      <c r="H83" s="129">
        <f>+Nutrition!F17</f>
        <v>7226.35524</v>
      </c>
      <c r="I83" s="91"/>
      <c r="J83" s="161"/>
      <c r="K83" s="130"/>
      <c r="L83" s="68"/>
      <c r="M83" s="68"/>
      <c r="N83" s="68"/>
      <c r="O83" s="68"/>
      <c r="P83" s="68"/>
      <c r="Q83" s="68">
        <v>15810</v>
      </c>
      <c r="R83" s="13">
        <f t="shared" si="14"/>
        <v>31877.65914</v>
      </c>
      <c r="S83" s="7">
        <f t="shared" si="10"/>
        <v>-4225.35612</v>
      </c>
    </row>
    <row r="84" spans="1:19" ht="15">
      <c r="A84" s="51" t="s">
        <v>130</v>
      </c>
      <c r="B84" s="68">
        <v>2869</v>
      </c>
      <c r="C84" s="64">
        <v>147</v>
      </c>
      <c r="D84" s="126"/>
      <c r="E84" s="68">
        <f>+'$2 increase'!G47</f>
        <v>2679.8778</v>
      </c>
      <c r="F84" s="144">
        <f t="shared" si="11"/>
        <v>-189.1221999999998</v>
      </c>
      <c r="G84" s="128">
        <f>+ADC!G20</f>
        <v>720.016</v>
      </c>
      <c r="H84" s="129">
        <f>+Nutrition!G17</f>
        <v>540</v>
      </c>
      <c r="I84" s="91"/>
      <c r="J84" s="161"/>
      <c r="K84" s="130"/>
      <c r="L84" s="68"/>
      <c r="M84" s="68"/>
      <c r="N84" s="68"/>
      <c r="O84" s="68"/>
      <c r="P84" s="68"/>
      <c r="Q84" s="68">
        <v>1477</v>
      </c>
      <c r="R84" s="13">
        <f t="shared" si="14"/>
        <v>2737.016</v>
      </c>
      <c r="S84" s="7">
        <f t="shared" si="10"/>
        <v>57.13819999999987</v>
      </c>
    </row>
    <row r="85" spans="1:19" ht="15">
      <c r="A85" s="51" t="s">
        <v>131</v>
      </c>
      <c r="B85" s="68">
        <v>5710</v>
      </c>
      <c r="C85" s="64">
        <v>3939</v>
      </c>
      <c r="D85" s="126">
        <v>5676</v>
      </c>
      <c r="E85" s="68">
        <f>+'3% COLA'!H47</f>
        <v>5986.601446799999</v>
      </c>
      <c r="F85" s="144">
        <f t="shared" si="11"/>
        <v>276.6014467999994</v>
      </c>
      <c r="G85" s="128">
        <f>+ADC!H20</f>
        <v>1907.0843999999997</v>
      </c>
      <c r="H85" s="129">
        <f>+Nutrition!H17</f>
        <v>1613.3748799999998</v>
      </c>
      <c r="I85" s="91"/>
      <c r="J85" s="161"/>
      <c r="K85" s="130"/>
      <c r="L85" s="68"/>
      <c r="M85" s="68"/>
      <c r="N85" s="68"/>
      <c r="O85" s="68"/>
      <c r="P85" s="68"/>
      <c r="Q85" s="68">
        <v>1055</v>
      </c>
      <c r="R85" s="13">
        <f t="shared" si="14"/>
        <v>4575.459279999999</v>
      </c>
      <c r="S85" s="7">
        <f t="shared" si="10"/>
        <v>-1411.1421668000003</v>
      </c>
    </row>
    <row r="86" spans="1:19" ht="15">
      <c r="A86" s="46" t="s">
        <v>40</v>
      </c>
      <c r="B86" s="91">
        <v>-15000</v>
      </c>
      <c r="C86" s="90"/>
      <c r="D86" s="124"/>
      <c r="E86" s="91"/>
      <c r="F86" s="125">
        <f t="shared" si="11"/>
        <v>15000</v>
      </c>
      <c r="G86" s="128"/>
      <c r="H86" s="129"/>
      <c r="I86" s="91"/>
      <c r="J86" s="91"/>
      <c r="K86" s="91"/>
      <c r="L86" s="91"/>
      <c r="M86" s="91"/>
      <c r="N86" s="91"/>
      <c r="O86" s="91"/>
      <c r="P86" s="91"/>
      <c r="Q86" s="91"/>
      <c r="R86" s="13">
        <f t="shared" si="14"/>
        <v>0</v>
      </c>
      <c r="S86" s="7">
        <f t="shared" si="10"/>
        <v>0</v>
      </c>
    </row>
    <row r="87" spans="1:19" ht="15">
      <c r="A87" s="4" t="s">
        <v>132</v>
      </c>
      <c r="B87" s="68">
        <v>3527</v>
      </c>
      <c r="C87" s="63">
        <v>984.78</v>
      </c>
      <c r="D87" s="126"/>
      <c r="E87" s="68">
        <f>+'3% COLA'!I47</f>
        <v>3135.04</v>
      </c>
      <c r="F87" s="144">
        <f t="shared" si="11"/>
        <v>-391.96000000000004</v>
      </c>
      <c r="G87" s="128">
        <f>+ADC!I20</f>
        <v>762.96</v>
      </c>
      <c r="H87" s="129">
        <f>+Nutrition!I17</f>
        <v>381.48</v>
      </c>
      <c r="I87" s="91"/>
      <c r="J87" s="68"/>
      <c r="K87" s="130"/>
      <c r="L87" s="68"/>
      <c r="M87" s="68"/>
      <c r="N87" s="68"/>
      <c r="O87" s="68"/>
      <c r="P87" s="68"/>
      <c r="Q87" s="68">
        <v>1959</v>
      </c>
      <c r="R87" s="13">
        <f t="shared" si="14"/>
        <v>3103.44</v>
      </c>
      <c r="S87" s="7">
        <f t="shared" si="10"/>
        <v>-31.59999999999991</v>
      </c>
    </row>
    <row r="88" spans="1:19" ht="15">
      <c r="A88" s="4" t="s">
        <v>133</v>
      </c>
      <c r="B88" s="68">
        <v>7801</v>
      </c>
      <c r="C88" s="63">
        <v>2863.78</v>
      </c>
      <c r="D88" s="126"/>
      <c r="E88" s="68">
        <f>+'$2 increase'!J47</f>
        <v>9220.036799999998</v>
      </c>
      <c r="F88" s="144">
        <f t="shared" si="11"/>
        <v>1419.036799999998</v>
      </c>
      <c r="G88" s="128">
        <f>+ADC!J20</f>
        <v>2478.138</v>
      </c>
      <c r="H88" s="129">
        <f>+Nutrition!K17</f>
        <v>1510.9848000000002</v>
      </c>
      <c r="I88" s="91"/>
      <c r="J88" s="68"/>
      <c r="K88" s="130"/>
      <c r="L88" s="68"/>
      <c r="M88" s="68"/>
      <c r="N88" s="68"/>
      <c r="O88" s="68"/>
      <c r="P88" s="68"/>
      <c r="Q88" s="68">
        <v>3992</v>
      </c>
      <c r="R88" s="13">
        <f t="shared" si="14"/>
        <v>7981.1228</v>
      </c>
      <c r="S88" s="7">
        <f t="shared" si="10"/>
        <v>-1238.913999999998</v>
      </c>
    </row>
    <row r="89" spans="1:19" ht="15">
      <c r="A89" s="4" t="s">
        <v>134</v>
      </c>
      <c r="B89" s="68">
        <v>7801</v>
      </c>
      <c r="C89" s="63">
        <v>2872.78</v>
      </c>
      <c r="D89" s="126"/>
      <c r="E89" s="68">
        <f>+'$2 increase'!K47</f>
        <v>9220.036799999998</v>
      </c>
      <c r="F89" s="144">
        <f t="shared" si="11"/>
        <v>1419.036799999998</v>
      </c>
      <c r="G89" s="128">
        <f>+ADC!K20</f>
        <v>2478.138</v>
      </c>
      <c r="H89" s="129">
        <f>+Nutrition!J17</f>
        <v>1510.9848000000002</v>
      </c>
      <c r="I89" s="91"/>
      <c r="J89" s="68"/>
      <c r="K89" s="130"/>
      <c r="L89" s="68"/>
      <c r="M89" s="68"/>
      <c r="N89" s="68"/>
      <c r="O89" s="68"/>
      <c r="P89" s="68"/>
      <c r="Q89" s="68">
        <v>4524</v>
      </c>
      <c r="R89" s="13">
        <f t="shared" si="14"/>
        <v>8513.122800000001</v>
      </c>
      <c r="S89" s="7">
        <f t="shared" si="10"/>
        <v>-706.913999999997</v>
      </c>
    </row>
    <row r="90" spans="1:19" ht="15">
      <c r="A90" s="4" t="s">
        <v>135</v>
      </c>
      <c r="B90" s="68">
        <v>1150</v>
      </c>
      <c r="C90" s="68">
        <v>1100</v>
      </c>
      <c r="D90" s="126"/>
      <c r="E90" s="68">
        <v>1150</v>
      </c>
      <c r="F90" s="144">
        <f t="shared" si="11"/>
        <v>0</v>
      </c>
      <c r="G90" s="128">
        <v>400</v>
      </c>
      <c r="H90" s="129">
        <v>250</v>
      </c>
      <c r="I90" s="91"/>
      <c r="J90" s="68"/>
      <c r="K90" s="130"/>
      <c r="L90" s="68"/>
      <c r="M90" s="68"/>
      <c r="N90" s="68"/>
      <c r="O90" s="68"/>
      <c r="P90" s="68"/>
      <c r="Q90" s="68">
        <v>500</v>
      </c>
      <c r="R90" s="13">
        <f t="shared" si="14"/>
        <v>1150</v>
      </c>
      <c r="S90" s="7">
        <f t="shared" si="10"/>
        <v>0</v>
      </c>
    </row>
    <row r="91" spans="1:19" ht="15">
      <c r="A91" s="46" t="s">
        <v>41</v>
      </c>
      <c r="B91" s="91"/>
      <c r="C91" s="90"/>
      <c r="D91" s="124"/>
      <c r="E91" s="91"/>
      <c r="F91" s="125">
        <f t="shared" si="11"/>
        <v>0</v>
      </c>
      <c r="G91" s="128"/>
      <c r="H91" s="129"/>
      <c r="I91" s="91"/>
      <c r="J91" s="91"/>
      <c r="K91" s="91"/>
      <c r="L91" s="91"/>
      <c r="M91" s="91"/>
      <c r="N91" s="91"/>
      <c r="O91" s="91"/>
      <c r="P91" s="91"/>
      <c r="Q91" s="91"/>
      <c r="R91" s="13">
        <f t="shared" si="14"/>
        <v>0</v>
      </c>
      <c r="S91" s="7">
        <f t="shared" si="10"/>
        <v>0</v>
      </c>
    </row>
    <row r="92" spans="1:19" ht="15">
      <c r="A92" s="46" t="s">
        <v>42</v>
      </c>
      <c r="B92" s="91">
        <v>2000</v>
      </c>
      <c r="C92" s="91">
        <v>7709.88</v>
      </c>
      <c r="D92" s="124"/>
      <c r="E92" s="91">
        <v>2000</v>
      </c>
      <c r="F92" s="125">
        <f t="shared" si="11"/>
        <v>0</v>
      </c>
      <c r="G92" s="128">
        <f aca="true" t="shared" si="15" ref="G92:G129">+E92*0.0814</f>
        <v>162.8</v>
      </c>
      <c r="H92" s="129">
        <f aca="true" t="shared" si="16" ref="H92:H129">+E92*0.1212</f>
        <v>242.4</v>
      </c>
      <c r="I92" s="91"/>
      <c r="J92" s="91"/>
      <c r="K92" s="91"/>
      <c r="L92" s="91"/>
      <c r="M92" s="91"/>
      <c r="N92" s="91"/>
      <c r="O92" s="91"/>
      <c r="P92" s="91"/>
      <c r="Q92" s="91">
        <v>8732</v>
      </c>
      <c r="R92" s="13">
        <f t="shared" si="14"/>
        <v>9137.2</v>
      </c>
      <c r="S92" s="7">
        <f t="shared" si="10"/>
        <v>7137.200000000001</v>
      </c>
    </row>
    <row r="93" spans="1:19" ht="15">
      <c r="A93" s="46" t="s">
        <v>43</v>
      </c>
      <c r="B93" s="91"/>
      <c r="C93" s="90"/>
      <c r="D93" s="124"/>
      <c r="E93" s="91"/>
      <c r="F93" s="125">
        <f t="shared" si="11"/>
        <v>0</v>
      </c>
      <c r="G93" s="128">
        <f t="shared" si="15"/>
        <v>0</v>
      </c>
      <c r="H93" s="129">
        <f t="shared" si="16"/>
        <v>0</v>
      </c>
      <c r="I93" s="91"/>
      <c r="J93" s="91"/>
      <c r="K93" s="91"/>
      <c r="L93" s="91"/>
      <c r="M93" s="91"/>
      <c r="N93" s="91"/>
      <c r="O93" s="91"/>
      <c r="P93" s="91"/>
      <c r="Q93" s="91"/>
      <c r="R93" s="13">
        <f t="shared" si="14"/>
        <v>0</v>
      </c>
      <c r="S93" s="7">
        <f t="shared" si="10"/>
        <v>0</v>
      </c>
    </row>
    <row r="94" spans="1:19" ht="15">
      <c r="A94" s="4" t="s">
        <v>136</v>
      </c>
      <c r="B94" s="68">
        <v>48000</v>
      </c>
      <c r="C94" s="64">
        <v>19177.1</v>
      </c>
      <c r="D94" s="126"/>
      <c r="E94" s="68">
        <v>40000</v>
      </c>
      <c r="F94" s="144">
        <f t="shared" si="11"/>
        <v>-8000</v>
      </c>
      <c r="G94" s="128"/>
      <c r="H94" s="129">
        <v>43600</v>
      </c>
      <c r="I94" s="91"/>
      <c r="J94" s="68"/>
      <c r="K94" s="130"/>
      <c r="L94" s="130"/>
      <c r="M94" s="130"/>
      <c r="N94" s="130"/>
      <c r="O94" s="130"/>
      <c r="P94" s="130"/>
      <c r="Q94" s="68"/>
      <c r="R94" s="13">
        <f t="shared" si="14"/>
        <v>43600</v>
      </c>
      <c r="S94" s="7">
        <f t="shared" si="10"/>
        <v>3600</v>
      </c>
    </row>
    <row r="95" spans="1:19" ht="15">
      <c r="A95" s="4" t="s">
        <v>138</v>
      </c>
      <c r="B95" s="109">
        <v>100</v>
      </c>
      <c r="C95" s="64">
        <v>30</v>
      </c>
      <c r="D95" s="126"/>
      <c r="E95" s="109">
        <v>100</v>
      </c>
      <c r="F95" s="144">
        <f t="shared" si="11"/>
        <v>0</v>
      </c>
      <c r="G95" s="128"/>
      <c r="H95" s="129">
        <v>100</v>
      </c>
      <c r="I95" s="91"/>
      <c r="J95" s="130"/>
      <c r="K95" s="130"/>
      <c r="L95" s="130"/>
      <c r="M95" s="130"/>
      <c r="N95" s="130"/>
      <c r="O95" s="130"/>
      <c r="P95" s="130"/>
      <c r="Q95" s="68">
        <v>79</v>
      </c>
      <c r="R95" s="13">
        <f t="shared" si="14"/>
        <v>179</v>
      </c>
      <c r="S95" s="7">
        <f t="shared" si="10"/>
        <v>79</v>
      </c>
    </row>
    <row r="96" spans="1:19" ht="15">
      <c r="A96" s="4" t="s">
        <v>137</v>
      </c>
      <c r="B96" s="109">
        <v>8500</v>
      </c>
      <c r="C96" s="68">
        <v>3181.27</v>
      </c>
      <c r="D96" s="126"/>
      <c r="E96" s="109">
        <v>6000</v>
      </c>
      <c r="F96" s="144">
        <f t="shared" si="11"/>
        <v>-2500</v>
      </c>
      <c r="G96" s="128"/>
      <c r="H96" s="129">
        <v>6500</v>
      </c>
      <c r="I96" s="91"/>
      <c r="J96" s="68"/>
      <c r="K96" s="130"/>
      <c r="L96" s="130"/>
      <c r="M96" s="130"/>
      <c r="N96" s="130"/>
      <c r="O96" s="130"/>
      <c r="P96" s="130"/>
      <c r="Q96" s="68"/>
      <c r="R96" s="13">
        <f t="shared" si="14"/>
        <v>6500</v>
      </c>
      <c r="S96" s="7">
        <f t="shared" si="10"/>
        <v>500</v>
      </c>
    </row>
    <row r="97" spans="1:19" ht="15">
      <c r="A97" s="46" t="s">
        <v>44</v>
      </c>
      <c r="B97" s="91"/>
      <c r="C97" s="90"/>
      <c r="D97" s="124"/>
      <c r="E97" s="91"/>
      <c r="F97" s="125">
        <f t="shared" si="11"/>
        <v>0</v>
      </c>
      <c r="G97" s="128">
        <f t="shared" si="15"/>
        <v>0</v>
      </c>
      <c r="H97" s="129">
        <f t="shared" si="16"/>
        <v>0</v>
      </c>
      <c r="I97" s="91"/>
      <c r="J97" s="91"/>
      <c r="K97" s="91"/>
      <c r="L97" s="91"/>
      <c r="M97" s="91"/>
      <c r="N97" s="91"/>
      <c r="O97" s="91"/>
      <c r="P97" s="91"/>
      <c r="Q97" s="91"/>
      <c r="R97" s="13">
        <f t="shared" si="14"/>
        <v>0</v>
      </c>
      <c r="S97" s="7">
        <f t="shared" si="10"/>
        <v>0</v>
      </c>
    </row>
    <row r="98" spans="1:19" ht="15">
      <c r="A98" s="4" t="s">
        <v>160</v>
      </c>
      <c r="B98" s="109">
        <v>2800</v>
      </c>
      <c r="C98" s="63">
        <v>0</v>
      </c>
      <c r="D98" s="126"/>
      <c r="E98" s="109">
        <v>2820</v>
      </c>
      <c r="F98" s="144">
        <f t="shared" si="11"/>
        <v>20</v>
      </c>
      <c r="G98" s="128">
        <f t="shared" si="15"/>
        <v>229.548</v>
      </c>
      <c r="H98" s="129">
        <f t="shared" si="16"/>
        <v>341.784</v>
      </c>
      <c r="I98" s="91"/>
      <c r="J98" s="130"/>
      <c r="K98" s="130"/>
      <c r="L98" s="130"/>
      <c r="M98" s="130"/>
      <c r="N98" s="130"/>
      <c r="O98" s="130"/>
      <c r="P98" s="130"/>
      <c r="Q98" s="68">
        <v>2223</v>
      </c>
      <c r="R98" s="13">
        <f t="shared" si="14"/>
        <v>2794.332</v>
      </c>
      <c r="S98" s="7">
        <f t="shared" si="10"/>
        <v>-25.66800000000012</v>
      </c>
    </row>
    <row r="99" spans="1:19" ht="15">
      <c r="A99" s="4" t="s">
        <v>161</v>
      </c>
      <c r="B99" s="109">
        <v>2310</v>
      </c>
      <c r="C99" s="64">
        <v>0</v>
      </c>
      <c r="D99" s="126"/>
      <c r="E99" s="109">
        <v>2338</v>
      </c>
      <c r="F99" s="144">
        <f t="shared" si="11"/>
        <v>28</v>
      </c>
      <c r="G99" s="128">
        <f t="shared" si="15"/>
        <v>190.3132</v>
      </c>
      <c r="H99" s="129">
        <f t="shared" si="16"/>
        <v>283.36560000000003</v>
      </c>
      <c r="I99" s="91"/>
      <c r="J99" s="130"/>
      <c r="K99" s="130"/>
      <c r="L99" s="130"/>
      <c r="M99" s="130"/>
      <c r="N99" s="130"/>
      <c r="O99" s="130"/>
      <c r="P99" s="130"/>
      <c r="Q99" s="68">
        <v>1834</v>
      </c>
      <c r="R99" s="13">
        <f t="shared" si="14"/>
        <v>2307.6788</v>
      </c>
      <c r="S99" s="7">
        <f t="shared" si="10"/>
        <v>-30.321199999999862</v>
      </c>
    </row>
    <row r="100" spans="1:19" ht="15">
      <c r="A100" s="4" t="s">
        <v>162</v>
      </c>
      <c r="B100" s="109">
        <v>816</v>
      </c>
      <c r="C100" s="68">
        <v>0</v>
      </c>
      <c r="D100" s="126"/>
      <c r="E100" s="109">
        <v>842</v>
      </c>
      <c r="F100" s="144">
        <f t="shared" si="11"/>
        <v>26</v>
      </c>
      <c r="G100" s="128">
        <f t="shared" si="15"/>
        <v>68.5388</v>
      </c>
      <c r="H100" s="129">
        <f t="shared" si="16"/>
        <v>102.0504</v>
      </c>
      <c r="I100" s="91"/>
      <c r="J100" s="130"/>
      <c r="K100" s="130"/>
      <c r="L100" s="130"/>
      <c r="M100" s="130"/>
      <c r="N100" s="130"/>
      <c r="O100" s="130"/>
      <c r="P100" s="130"/>
      <c r="Q100" s="68">
        <v>648</v>
      </c>
      <c r="R100" s="13">
        <f t="shared" si="14"/>
        <v>818.5892</v>
      </c>
      <c r="S100" s="7">
        <f t="shared" si="10"/>
        <v>-23.410799999999995</v>
      </c>
    </row>
    <row r="101" spans="1:19" ht="15">
      <c r="A101" s="46" t="s">
        <v>45</v>
      </c>
      <c r="B101" s="91"/>
      <c r="C101" s="90"/>
      <c r="D101" s="124"/>
      <c r="E101" s="91"/>
      <c r="F101" s="125">
        <f t="shared" si="11"/>
        <v>0</v>
      </c>
      <c r="G101" s="128">
        <f t="shared" si="15"/>
        <v>0</v>
      </c>
      <c r="H101" s="129">
        <f t="shared" si="16"/>
        <v>0</v>
      </c>
      <c r="I101" s="91"/>
      <c r="J101" s="91"/>
      <c r="K101" s="91"/>
      <c r="L101" s="91"/>
      <c r="M101" s="91"/>
      <c r="N101" s="91"/>
      <c r="O101" s="91"/>
      <c r="P101" s="91"/>
      <c r="Q101" s="91"/>
      <c r="R101" s="13">
        <f t="shared" si="14"/>
        <v>0</v>
      </c>
      <c r="S101" s="7">
        <f t="shared" si="10"/>
        <v>0</v>
      </c>
    </row>
    <row r="102" spans="1:19" ht="15">
      <c r="A102" s="4" t="s">
        <v>139</v>
      </c>
      <c r="B102" s="109">
        <v>8000</v>
      </c>
      <c r="C102" s="64">
        <v>9450</v>
      </c>
      <c r="D102" s="126"/>
      <c r="E102" s="109">
        <v>9500</v>
      </c>
      <c r="F102" s="144">
        <f t="shared" si="11"/>
        <v>1500</v>
      </c>
      <c r="G102" s="128">
        <f t="shared" si="15"/>
        <v>773.3</v>
      </c>
      <c r="H102" s="129">
        <f t="shared" si="16"/>
        <v>1151.4</v>
      </c>
      <c r="I102" s="91"/>
      <c r="J102" s="130"/>
      <c r="K102" s="130"/>
      <c r="L102" s="130"/>
      <c r="M102" s="130"/>
      <c r="N102" s="130"/>
      <c r="O102" s="130"/>
      <c r="P102" s="130"/>
      <c r="Q102" s="68">
        <v>6350</v>
      </c>
      <c r="R102" s="13">
        <f t="shared" si="14"/>
        <v>8274.7</v>
      </c>
      <c r="S102" s="7">
        <f t="shared" si="10"/>
        <v>-1225.2999999999993</v>
      </c>
    </row>
    <row r="103" spans="1:19" ht="15">
      <c r="A103" s="4" t="s">
        <v>163</v>
      </c>
      <c r="B103" s="109">
        <v>500</v>
      </c>
      <c r="C103" s="63">
        <v>0</v>
      </c>
      <c r="D103" s="126"/>
      <c r="E103" s="109">
        <v>500</v>
      </c>
      <c r="F103" s="144">
        <f t="shared" si="11"/>
        <v>0</v>
      </c>
      <c r="G103" s="128">
        <f t="shared" si="15"/>
        <v>40.7</v>
      </c>
      <c r="H103" s="129">
        <f t="shared" si="16"/>
        <v>60.6</v>
      </c>
      <c r="I103" s="91"/>
      <c r="J103" s="130"/>
      <c r="K103" s="130"/>
      <c r="L103" s="130"/>
      <c r="M103" s="130"/>
      <c r="N103" s="130"/>
      <c r="O103" s="130"/>
      <c r="P103" s="130"/>
      <c r="Q103" s="68">
        <v>397</v>
      </c>
      <c r="R103" s="13">
        <f t="shared" si="14"/>
        <v>498.3</v>
      </c>
      <c r="S103" s="7">
        <f t="shared" si="10"/>
        <v>-1.6999999999999886</v>
      </c>
    </row>
    <row r="104" spans="1:19" ht="15">
      <c r="A104" s="4" t="s">
        <v>164</v>
      </c>
      <c r="B104" s="109">
        <v>900</v>
      </c>
      <c r="C104" s="68">
        <v>410.86</v>
      </c>
      <c r="D104" s="126"/>
      <c r="E104" s="109">
        <v>900</v>
      </c>
      <c r="F104" s="144">
        <f t="shared" si="11"/>
        <v>0</v>
      </c>
      <c r="G104" s="128">
        <f t="shared" si="15"/>
        <v>73.26</v>
      </c>
      <c r="H104" s="129">
        <f t="shared" si="16"/>
        <v>109.08</v>
      </c>
      <c r="I104" s="91"/>
      <c r="J104" s="130"/>
      <c r="K104" s="130"/>
      <c r="L104" s="130"/>
      <c r="M104" s="130"/>
      <c r="N104" s="130"/>
      <c r="O104" s="130"/>
      <c r="P104" s="130"/>
      <c r="Q104" s="68">
        <v>714</v>
      </c>
      <c r="R104" s="13">
        <f t="shared" si="14"/>
        <v>896.34</v>
      </c>
      <c r="S104" s="7">
        <f t="shared" si="10"/>
        <v>-3.659999999999968</v>
      </c>
    </row>
    <row r="105" spans="1:19" ht="15">
      <c r="A105" s="46" t="s">
        <v>46</v>
      </c>
      <c r="B105" s="91"/>
      <c r="C105" s="90"/>
      <c r="D105" s="124"/>
      <c r="E105" s="91"/>
      <c r="F105" s="125">
        <f t="shared" si="11"/>
        <v>0</v>
      </c>
      <c r="G105" s="128">
        <f t="shared" si="15"/>
        <v>0</v>
      </c>
      <c r="H105" s="129">
        <f t="shared" si="16"/>
        <v>0</v>
      </c>
      <c r="I105" s="91"/>
      <c r="J105" s="91"/>
      <c r="K105" s="91"/>
      <c r="L105" s="91"/>
      <c r="M105" s="91"/>
      <c r="N105" s="91"/>
      <c r="O105" s="91"/>
      <c r="P105" s="91"/>
      <c r="Q105" s="91"/>
      <c r="R105" s="13">
        <f t="shared" si="14"/>
        <v>0</v>
      </c>
      <c r="S105" s="7">
        <f t="shared" si="10"/>
        <v>0</v>
      </c>
    </row>
    <row r="106" spans="1:19" ht="15">
      <c r="A106" s="4" t="s">
        <v>141</v>
      </c>
      <c r="B106" s="109">
        <v>1000</v>
      </c>
      <c r="C106" s="63">
        <v>550</v>
      </c>
      <c r="D106" s="126"/>
      <c r="E106" s="109">
        <v>1000</v>
      </c>
      <c r="F106" s="144">
        <f t="shared" si="11"/>
        <v>0</v>
      </c>
      <c r="G106" s="128">
        <f t="shared" si="15"/>
        <v>81.4</v>
      </c>
      <c r="H106" s="129">
        <f t="shared" si="16"/>
        <v>121.2</v>
      </c>
      <c r="I106" s="91"/>
      <c r="J106" s="130"/>
      <c r="K106" s="130"/>
      <c r="L106" s="130"/>
      <c r="M106" s="130"/>
      <c r="N106" s="130"/>
      <c r="O106" s="130"/>
      <c r="P106" s="130"/>
      <c r="Q106" s="68">
        <v>794</v>
      </c>
      <c r="R106" s="13">
        <f t="shared" si="14"/>
        <v>996.6</v>
      </c>
      <c r="S106" s="7">
        <f t="shared" si="10"/>
        <v>-3.3999999999999773</v>
      </c>
    </row>
    <row r="107" spans="1:19" ht="15">
      <c r="A107" s="4" t="s">
        <v>140</v>
      </c>
      <c r="B107" s="109">
        <v>1000</v>
      </c>
      <c r="C107" s="68">
        <v>252.45</v>
      </c>
      <c r="D107" s="126"/>
      <c r="E107" s="109">
        <v>1000</v>
      </c>
      <c r="F107" s="144">
        <f t="shared" si="11"/>
        <v>0</v>
      </c>
      <c r="G107" s="128">
        <f t="shared" si="15"/>
        <v>81.4</v>
      </c>
      <c r="H107" s="129">
        <f t="shared" si="16"/>
        <v>121.2</v>
      </c>
      <c r="I107" s="91"/>
      <c r="J107" s="130"/>
      <c r="K107" s="130"/>
      <c r="L107" s="109"/>
      <c r="M107" s="109"/>
      <c r="N107" s="109"/>
      <c r="O107" s="109"/>
      <c r="P107" s="68"/>
      <c r="Q107" s="68">
        <v>794</v>
      </c>
      <c r="R107" s="13">
        <f t="shared" si="14"/>
        <v>996.6</v>
      </c>
      <c r="S107" s="7">
        <f t="shared" si="10"/>
        <v>-3.3999999999999773</v>
      </c>
    </row>
    <row r="108" spans="1:19" ht="15">
      <c r="A108" s="46" t="s">
        <v>47</v>
      </c>
      <c r="B108" s="91"/>
      <c r="C108" s="90"/>
      <c r="D108" s="124"/>
      <c r="E108" s="91"/>
      <c r="F108" s="125">
        <f t="shared" si="11"/>
        <v>0</v>
      </c>
      <c r="G108" s="128">
        <f t="shared" si="15"/>
        <v>0</v>
      </c>
      <c r="H108" s="129">
        <f t="shared" si="16"/>
        <v>0</v>
      </c>
      <c r="I108" s="91"/>
      <c r="J108" s="91"/>
      <c r="K108" s="91"/>
      <c r="L108" s="91"/>
      <c r="M108" s="91"/>
      <c r="N108" s="91"/>
      <c r="O108" s="91"/>
      <c r="P108" s="91"/>
      <c r="Q108" s="91"/>
      <c r="R108" s="13">
        <f t="shared" si="14"/>
        <v>0</v>
      </c>
      <c r="S108" s="7">
        <f t="shared" si="10"/>
        <v>0</v>
      </c>
    </row>
    <row r="109" spans="1:19" ht="15">
      <c r="A109" s="4" t="s">
        <v>48</v>
      </c>
      <c r="B109" s="109">
        <v>9000</v>
      </c>
      <c r="C109" s="64">
        <v>9846.78</v>
      </c>
      <c r="D109" s="126"/>
      <c r="E109" s="109">
        <v>9000</v>
      </c>
      <c r="F109" s="144">
        <f t="shared" si="11"/>
        <v>0</v>
      </c>
      <c r="G109" s="128">
        <f t="shared" si="15"/>
        <v>732.6</v>
      </c>
      <c r="H109" s="129">
        <f t="shared" si="16"/>
        <v>1090.8</v>
      </c>
      <c r="I109" s="91"/>
      <c r="J109" s="109"/>
      <c r="K109" s="130"/>
      <c r="L109" s="109"/>
      <c r="M109" s="109"/>
      <c r="N109" s="109"/>
      <c r="O109" s="109"/>
      <c r="P109" s="109"/>
      <c r="Q109" s="68">
        <v>7144</v>
      </c>
      <c r="R109" s="13">
        <f t="shared" si="14"/>
        <v>8967.4</v>
      </c>
      <c r="S109" s="7">
        <f t="shared" si="10"/>
        <v>-32.600000000000364</v>
      </c>
    </row>
    <row r="110" spans="1:19" ht="15">
      <c r="A110" s="4" t="s">
        <v>49</v>
      </c>
      <c r="B110" s="109">
        <v>8000</v>
      </c>
      <c r="C110" s="64">
        <v>10816.32</v>
      </c>
      <c r="D110" s="126"/>
      <c r="E110" s="109">
        <v>8000</v>
      </c>
      <c r="F110" s="144">
        <f t="shared" si="11"/>
        <v>0</v>
      </c>
      <c r="G110" s="128">
        <f t="shared" si="15"/>
        <v>651.2</v>
      </c>
      <c r="H110" s="129">
        <f t="shared" si="16"/>
        <v>969.6</v>
      </c>
      <c r="I110" s="91"/>
      <c r="J110" s="109"/>
      <c r="K110" s="130"/>
      <c r="L110" s="109"/>
      <c r="M110" s="109"/>
      <c r="N110" s="109"/>
      <c r="O110" s="109"/>
      <c r="P110" s="130"/>
      <c r="Q110" s="68">
        <v>6350</v>
      </c>
      <c r="R110" s="13">
        <f t="shared" si="14"/>
        <v>7970.8</v>
      </c>
      <c r="S110" s="7">
        <f t="shared" si="10"/>
        <v>-29.199999999999818</v>
      </c>
    </row>
    <row r="111" spans="1:19" ht="15">
      <c r="A111" s="4" t="s">
        <v>50</v>
      </c>
      <c r="B111" s="109">
        <v>4000</v>
      </c>
      <c r="C111" s="64">
        <v>1732.2</v>
      </c>
      <c r="D111" s="126"/>
      <c r="E111" s="109">
        <v>4000</v>
      </c>
      <c r="F111" s="144">
        <f t="shared" si="11"/>
        <v>0</v>
      </c>
      <c r="G111" s="128">
        <f t="shared" si="15"/>
        <v>325.6</v>
      </c>
      <c r="H111" s="129">
        <f t="shared" si="16"/>
        <v>484.8</v>
      </c>
      <c r="I111" s="91"/>
      <c r="J111" s="109"/>
      <c r="K111" s="68"/>
      <c r="L111" s="109"/>
      <c r="M111" s="109"/>
      <c r="N111" s="109"/>
      <c r="O111" s="109"/>
      <c r="P111" s="109"/>
      <c r="Q111" s="68">
        <v>3175</v>
      </c>
      <c r="R111" s="13">
        <f t="shared" si="14"/>
        <v>3985.4</v>
      </c>
      <c r="S111" s="7">
        <f t="shared" si="10"/>
        <v>-14.599999999999909</v>
      </c>
    </row>
    <row r="112" spans="1:19" ht="15">
      <c r="A112" s="4" t="s">
        <v>51</v>
      </c>
      <c r="B112" s="109">
        <v>2500</v>
      </c>
      <c r="C112" s="64">
        <v>1030.25</v>
      </c>
      <c r="D112" s="126"/>
      <c r="E112" s="109">
        <v>2200</v>
      </c>
      <c r="F112" s="144">
        <f t="shared" si="11"/>
        <v>-300</v>
      </c>
      <c r="G112" s="128">
        <f t="shared" si="15"/>
        <v>179.08</v>
      </c>
      <c r="H112" s="129">
        <f t="shared" si="16"/>
        <v>266.64</v>
      </c>
      <c r="I112" s="91"/>
      <c r="J112" s="130"/>
      <c r="K112" s="130"/>
      <c r="L112" s="109"/>
      <c r="M112" s="109"/>
      <c r="N112" s="109"/>
      <c r="O112" s="109"/>
      <c r="P112" s="130"/>
      <c r="Q112" s="68">
        <v>1985</v>
      </c>
      <c r="R112" s="13">
        <f t="shared" si="14"/>
        <v>2430.7200000000003</v>
      </c>
      <c r="S112" s="7">
        <f t="shared" si="10"/>
        <v>230.72000000000025</v>
      </c>
    </row>
    <row r="113" spans="1:19" ht="15">
      <c r="A113" s="4" t="s">
        <v>184</v>
      </c>
      <c r="B113" s="109">
        <v>5700</v>
      </c>
      <c r="C113" s="64">
        <v>2330.33</v>
      </c>
      <c r="D113" s="126"/>
      <c r="E113" s="109">
        <v>5000</v>
      </c>
      <c r="F113" s="144">
        <f t="shared" si="11"/>
        <v>-700</v>
      </c>
      <c r="G113" s="128">
        <f t="shared" si="15"/>
        <v>407</v>
      </c>
      <c r="H113" s="129">
        <f t="shared" si="16"/>
        <v>606</v>
      </c>
      <c r="I113" s="91"/>
      <c r="J113" s="68"/>
      <c r="K113" s="130"/>
      <c r="L113" s="109"/>
      <c r="M113" s="109"/>
      <c r="N113" s="109"/>
      <c r="O113" s="109"/>
      <c r="P113" s="130"/>
      <c r="Q113" s="68">
        <v>4525</v>
      </c>
      <c r="R113" s="13">
        <f t="shared" si="14"/>
        <v>5538</v>
      </c>
      <c r="S113" s="7">
        <f t="shared" si="10"/>
        <v>538</v>
      </c>
    </row>
    <row r="114" spans="1:19" ht="15">
      <c r="A114" s="4" t="s">
        <v>52</v>
      </c>
      <c r="B114" s="109">
        <v>3000</v>
      </c>
      <c r="C114" s="64">
        <v>1504.35</v>
      </c>
      <c r="D114" s="126"/>
      <c r="E114" s="109">
        <v>3000</v>
      </c>
      <c r="F114" s="144">
        <f t="shared" si="11"/>
        <v>0</v>
      </c>
      <c r="G114" s="128">
        <f t="shared" si="15"/>
        <v>244.2</v>
      </c>
      <c r="H114" s="129">
        <f t="shared" si="16"/>
        <v>363.6</v>
      </c>
      <c r="I114" s="91"/>
      <c r="J114" s="130"/>
      <c r="K114" s="130"/>
      <c r="L114" s="130"/>
      <c r="M114" s="130"/>
      <c r="N114" s="130"/>
      <c r="O114" s="130"/>
      <c r="P114" s="130"/>
      <c r="Q114" s="68">
        <v>2381</v>
      </c>
      <c r="R114" s="13">
        <f t="shared" si="14"/>
        <v>2988.8</v>
      </c>
      <c r="S114" s="7">
        <f t="shared" si="10"/>
        <v>-11.199999999999818</v>
      </c>
    </row>
    <row r="115" spans="1:19" ht="15">
      <c r="A115" s="4" t="s">
        <v>53</v>
      </c>
      <c r="B115" s="109">
        <v>55000</v>
      </c>
      <c r="C115" s="64">
        <v>24322.48</v>
      </c>
      <c r="D115" s="126"/>
      <c r="E115" s="109">
        <v>48600</v>
      </c>
      <c r="F115" s="144">
        <f t="shared" si="11"/>
        <v>-6400</v>
      </c>
      <c r="G115" s="128">
        <f t="shared" si="15"/>
        <v>3956.04</v>
      </c>
      <c r="H115" s="129">
        <f t="shared" si="16"/>
        <v>5890.32</v>
      </c>
      <c r="I115" s="91"/>
      <c r="J115" s="109"/>
      <c r="K115" s="130"/>
      <c r="L115" s="109"/>
      <c r="M115" s="109"/>
      <c r="N115" s="109"/>
      <c r="O115" s="109"/>
      <c r="P115" s="130"/>
      <c r="Q115" s="68">
        <v>43659</v>
      </c>
      <c r="R115" s="13">
        <f t="shared" si="14"/>
        <v>53505.36</v>
      </c>
      <c r="S115" s="7">
        <f t="shared" si="10"/>
        <v>4905.360000000001</v>
      </c>
    </row>
    <row r="116" spans="1:19" ht="15">
      <c r="A116" s="4" t="s">
        <v>54</v>
      </c>
      <c r="B116" s="109">
        <v>15000</v>
      </c>
      <c r="C116" s="68">
        <v>3900.45</v>
      </c>
      <c r="D116" s="126"/>
      <c r="E116" s="109">
        <v>8000</v>
      </c>
      <c r="F116" s="144">
        <f t="shared" si="11"/>
        <v>-7000</v>
      </c>
      <c r="G116" s="128">
        <f t="shared" si="15"/>
        <v>651.2</v>
      </c>
      <c r="H116" s="129">
        <f t="shared" si="16"/>
        <v>969.6</v>
      </c>
      <c r="I116" s="91"/>
      <c r="J116" s="109"/>
      <c r="K116" s="130"/>
      <c r="L116" s="109"/>
      <c r="M116" s="109"/>
      <c r="N116" s="109"/>
      <c r="O116" s="109"/>
      <c r="P116" s="130"/>
      <c r="Q116" s="68">
        <v>11907</v>
      </c>
      <c r="R116" s="13">
        <f t="shared" si="14"/>
        <v>13527.8</v>
      </c>
      <c r="S116" s="7">
        <f t="shared" si="10"/>
        <v>5527.799999999999</v>
      </c>
    </row>
    <row r="117" spans="1:19" ht="15">
      <c r="A117" s="4" t="s">
        <v>185</v>
      </c>
      <c r="B117" s="109">
        <v>2500</v>
      </c>
      <c r="C117" s="68">
        <v>960</v>
      </c>
      <c r="D117" s="126"/>
      <c r="E117" s="109">
        <v>1920</v>
      </c>
      <c r="F117" s="144">
        <f t="shared" si="11"/>
        <v>-580</v>
      </c>
      <c r="G117" s="128">
        <f t="shared" si="15"/>
        <v>156.288</v>
      </c>
      <c r="H117" s="129">
        <f t="shared" si="16"/>
        <v>232.704</v>
      </c>
      <c r="I117" s="91"/>
      <c r="J117" s="109"/>
      <c r="K117" s="130"/>
      <c r="L117" s="109"/>
      <c r="M117" s="109"/>
      <c r="N117" s="109"/>
      <c r="O117" s="109"/>
      <c r="P117" s="130"/>
      <c r="Q117" s="68"/>
      <c r="R117" s="13"/>
      <c r="S117" s="7"/>
    </row>
    <row r="118" spans="1:19" ht="15">
      <c r="A118" s="46" t="s">
        <v>55</v>
      </c>
      <c r="B118" s="91"/>
      <c r="C118" s="90"/>
      <c r="D118" s="124"/>
      <c r="E118" s="91"/>
      <c r="F118" s="125"/>
      <c r="G118" s="128">
        <f t="shared" si="15"/>
        <v>0</v>
      </c>
      <c r="H118" s="129">
        <f t="shared" si="16"/>
        <v>0</v>
      </c>
      <c r="I118" s="91"/>
      <c r="J118" s="91"/>
      <c r="K118" s="91"/>
      <c r="L118" s="91"/>
      <c r="M118" s="91"/>
      <c r="N118" s="91"/>
      <c r="O118" s="91"/>
      <c r="P118" s="91"/>
      <c r="Q118" s="91"/>
      <c r="R118" s="13">
        <f t="shared" si="14"/>
        <v>0</v>
      </c>
      <c r="S118" s="7">
        <f t="shared" si="10"/>
        <v>0</v>
      </c>
    </row>
    <row r="119" spans="1:19" ht="15">
      <c r="A119" s="4" t="s">
        <v>142</v>
      </c>
      <c r="B119" s="109">
        <v>1000</v>
      </c>
      <c r="C119" s="63">
        <v>488.77</v>
      </c>
      <c r="D119" s="126"/>
      <c r="E119" s="109">
        <v>1000</v>
      </c>
      <c r="F119" s="144">
        <f t="shared" si="11"/>
        <v>0</v>
      </c>
      <c r="G119" s="128">
        <f t="shared" si="15"/>
        <v>81.4</v>
      </c>
      <c r="H119" s="129">
        <f t="shared" si="16"/>
        <v>121.2</v>
      </c>
      <c r="I119" s="91"/>
      <c r="J119" s="130"/>
      <c r="K119" s="130"/>
      <c r="L119" s="130"/>
      <c r="M119" s="130"/>
      <c r="N119" s="130"/>
      <c r="O119" s="130"/>
      <c r="P119" s="130"/>
      <c r="Q119" s="68">
        <v>794</v>
      </c>
      <c r="R119" s="13">
        <f t="shared" si="14"/>
        <v>996.6</v>
      </c>
      <c r="S119" s="7">
        <f t="shared" si="10"/>
        <v>-3.3999999999999773</v>
      </c>
    </row>
    <row r="120" spans="1:19" ht="15">
      <c r="A120" s="4" t="s">
        <v>143</v>
      </c>
      <c r="B120" s="109">
        <v>1500</v>
      </c>
      <c r="C120" s="63">
        <v>904.85</v>
      </c>
      <c r="D120" s="126"/>
      <c r="E120" s="109">
        <v>2000</v>
      </c>
      <c r="F120" s="144">
        <f t="shared" si="11"/>
        <v>500</v>
      </c>
      <c r="G120" s="128">
        <v>2000</v>
      </c>
      <c r="H120" s="129"/>
      <c r="I120" s="91"/>
      <c r="J120" s="130"/>
      <c r="K120" s="130"/>
      <c r="L120" s="130"/>
      <c r="M120" s="130"/>
      <c r="N120" s="130"/>
      <c r="O120" s="130"/>
      <c r="P120" s="130"/>
      <c r="Q120" s="68"/>
      <c r="R120" s="13">
        <f t="shared" si="14"/>
        <v>2000</v>
      </c>
      <c r="S120" s="7">
        <f t="shared" si="10"/>
        <v>0</v>
      </c>
    </row>
    <row r="121" spans="1:19" ht="15">
      <c r="A121" s="4" t="s">
        <v>144</v>
      </c>
      <c r="B121" s="109">
        <v>12480</v>
      </c>
      <c r="C121" s="64">
        <v>6052.5</v>
      </c>
      <c r="D121" s="126"/>
      <c r="E121" s="109">
        <v>16800</v>
      </c>
      <c r="F121" s="144">
        <f t="shared" si="11"/>
        <v>4320</v>
      </c>
      <c r="G121" s="128">
        <v>16800</v>
      </c>
      <c r="H121" s="129"/>
      <c r="I121" s="91"/>
      <c r="J121" s="130"/>
      <c r="K121" s="130"/>
      <c r="L121" s="130"/>
      <c r="M121" s="130"/>
      <c r="N121" s="130"/>
      <c r="O121" s="130"/>
      <c r="P121" s="130"/>
      <c r="Q121" s="68"/>
      <c r="R121" s="13">
        <f t="shared" si="14"/>
        <v>16800</v>
      </c>
      <c r="S121" s="7">
        <f t="shared" si="10"/>
        <v>0</v>
      </c>
    </row>
    <row r="122" spans="1:19" ht="15">
      <c r="A122" s="4" t="s">
        <v>145</v>
      </c>
      <c r="B122" s="109">
        <v>3000</v>
      </c>
      <c r="C122" s="64">
        <v>1026.7</v>
      </c>
      <c r="D122" s="126"/>
      <c r="E122" s="109">
        <v>0</v>
      </c>
      <c r="F122" s="144">
        <f t="shared" si="11"/>
        <v>-3000</v>
      </c>
      <c r="G122" s="128">
        <f t="shared" si="15"/>
        <v>0</v>
      </c>
      <c r="H122" s="129">
        <f t="shared" si="16"/>
        <v>0</v>
      </c>
      <c r="I122" s="91"/>
      <c r="J122" s="68"/>
      <c r="K122" s="68"/>
      <c r="L122" s="130"/>
      <c r="M122" s="130"/>
      <c r="N122" s="68"/>
      <c r="O122" s="130"/>
      <c r="P122" s="130"/>
      <c r="Q122" s="68">
        <v>2381</v>
      </c>
      <c r="R122" s="13">
        <f t="shared" si="14"/>
        <v>2381</v>
      </c>
      <c r="S122" s="7">
        <f t="shared" si="10"/>
        <v>2381</v>
      </c>
    </row>
    <row r="123" spans="1:19" ht="15">
      <c r="A123" s="4" t="s">
        <v>175</v>
      </c>
      <c r="B123" s="109">
        <v>2120</v>
      </c>
      <c r="C123" s="63">
        <v>528.7</v>
      </c>
      <c r="D123" s="126"/>
      <c r="E123" s="109">
        <v>4500</v>
      </c>
      <c r="F123" s="144">
        <f t="shared" si="11"/>
        <v>2380</v>
      </c>
      <c r="G123" s="128">
        <f t="shared" si="15"/>
        <v>366.3</v>
      </c>
      <c r="H123" s="129">
        <f t="shared" si="16"/>
        <v>545.4</v>
      </c>
      <c r="I123" s="91"/>
      <c r="J123" s="130"/>
      <c r="K123" s="130"/>
      <c r="L123" s="109"/>
      <c r="M123" s="109"/>
      <c r="N123" s="109"/>
      <c r="O123" s="130"/>
      <c r="P123" s="130"/>
      <c r="Q123" s="68">
        <v>1683</v>
      </c>
      <c r="R123" s="13">
        <f>SUM(G123:Q123)</f>
        <v>2594.7</v>
      </c>
      <c r="S123" s="7">
        <f>+R123-E123</f>
        <v>-1905.3000000000002</v>
      </c>
    </row>
    <row r="124" spans="1:19" ht="15">
      <c r="A124" s="4" t="s">
        <v>176</v>
      </c>
      <c r="B124" s="109">
        <v>4200</v>
      </c>
      <c r="C124" s="63">
        <v>649.94</v>
      </c>
      <c r="D124" s="126"/>
      <c r="E124" s="109">
        <v>3800</v>
      </c>
      <c r="F124" s="144">
        <f t="shared" si="11"/>
        <v>-400</v>
      </c>
      <c r="G124" s="128">
        <f t="shared" si="15"/>
        <v>309.32</v>
      </c>
      <c r="H124" s="129">
        <f t="shared" si="16"/>
        <v>460.56</v>
      </c>
      <c r="I124" s="91"/>
      <c r="J124" s="130"/>
      <c r="K124" s="130"/>
      <c r="L124" s="109"/>
      <c r="M124" s="109"/>
      <c r="N124" s="109"/>
      <c r="O124" s="130"/>
      <c r="P124" s="130"/>
      <c r="Q124" s="68">
        <v>3334</v>
      </c>
      <c r="R124" s="13">
        <f>SUM(G124:Q124)</f>
        <v>4103.88</v>
      </c>
      <c r="S124" s="7">
        <f>+R124-E124</f>
        <v>303.8800000000001</v>
      </c>
    </row>
    <row r="125" spans="1:19" ht="15">
      <c r="A125" s="4" t="s">
        <v>146</v>
      </c>
      <c r="B125" s="109">
        <v>3000</v>
      </c>
      <c r="C125" s="63">
        <v>0</v>
      </c>
      <c r="D125" s="126"/>
      <c r="E125" s="109">
        <v>0</v>
      </c>
      <c r="F125" s="144">
        <f t="shared" si="11"/>
        <v>-3000</v>
      </c>
      <c r="G125" s="128">
        <f t="shared" si="15"/>
        <v>0</v>
      </c>
      <c r="H125" s="129">
        <f t="shared" si="16"/>
        <v>0</v>
      </c>
      <c r="I125" s="91"/>
      <c r="J125" s="130"/>
      <c r="K125" s="130"/>
      <c r="L125" s="109"/>
      <c r="M125" s="109"/>
      <c r="N125" s="109"/>
      <c r="O125" s="130"/>
      <c r="P125" s="130"/>
      <c r="Q125" s="68">
        <v>2381</v>
      </c>
      <c r="R125" s="13">
        <f t="shared" si="14"/>
        <v>2381</v>
      </c>
      <c r="S125" s="7">
        <f t="shared" si="10"/>
        <v>2381</v>
      </c>
    </row>
    <row r="126" spans="1:19" ht="15">
      <c r="A126" s="4" t="s">
        <v>147</v>
      </c>
      <c r="B126" s="109">
        <v>11330</v>
      </c>
      <c r="C126" s="68">
        <v>5311.66</v>
      </c>
      <c r="D126" s="126"/>
      <c r="E126" s="109">
        <v>11250</v>
      </c>
      <c r="F126" s="144">
        <f t="shared" si="11"/>
        <v>-80</v>
      </c>
      <c r="G126" s="128">
        <f t="shared" si="15"/>
        <v>915.75</v>
      </c>
      <c r="H126" s="129">
        <f t="shared" si="16"/>
        <v>1363.5</v>
      </c>
      <c r="I126" s="91"/>
      <c r="J126" s="130"/>
      <c r="K126" s="130"/>
      <c r="L126" s="109"/>
      <c r="M126" s="109"/>
      <c r="N126" s="109"/>
      <c r="O126" s="130"/>
      <c r="P126" s="130"/>
      <c r="Q126" s="68">
        <v>8994</v>
      </c>
      <c r="R126" s="13">
        <f t="shared" si="14"/>
        <v>11273.25</v>
      </c>
      <c r="S126" s="7">
        <f t="shared" si="10"/>
        <v>23.25</v>
      </c>
    </row>
    <row r="127" spans="1:19" ht="15">
      <c r="A127" s="4" t="s">
        <v>148</v>
      </c>
      <c r="B127" s="109">
        <v>0</v>
      </c>
      <c r="C127" s="63">
        <v>-306.5</v>
      </c>
      <c r="D127" s="126"/>
      <c r="E127" s="109"/>
      <c r="F127" s="144">
        <f t="shared" si="11"/>
        <v>0</v>
      </c>
      <c r="G127" s="128">
        <f t="shared" si="15"/>
        <v>0</v>
      </c>
      <c r="H127" s="129">
        <f t="shared" si="16"/>
        <v>0</v>
      </c>
      <c r="I127" s="91"/>
      <c r="J127" s="130"/>
      <c r="K127" s="130"/>
      <c r="L127" s="130"/>
      <c r="M127" s="130"/>
      <c r="N127" s="130"/>
      <c r="O127" s="130"/>
      <c r="P127" s="130"/>
      <c r="Q127" s="68"/>
      <c r="R127" s="13">
        <f t="shared" si="14"/>
        <v>0</v>
      </c>
      <c r="S127" s="7">
        <f t="shared" si="10"/>
        <v>0</v>
      </c>
    </row>
    <row r="128" spans="1:19" ht="15">
      <c r="A128" s="46" t="s">
        <v>56</v>
      </c>
      <c r="B128" s="91"/>
      <c r="C128" s="90"/>
      <c r="D128" s="124"/>
      <c r="E128" s="91"/>
      <c r="F128" s="125">
        <f t="shared" si="11"/>
        <v>0</v>
      </c>
      <c r="G128" s="128">
        <f t="shared" si="15"/>
        <v>0</v>
      </c>
      <c r="H128" s="129">
        <f t="shared" si="16"/>
        <v>0</v>
      </c>
      <c r="I128" s="91"/>
      <c r="J128" s="91"/>
      <c r="K128" s="91"/>
      <c r="L128" s="91"/>
      <c r="M128" s="91"/>
      <c r="N128" s="91"/>
      <c r="O128" s="91"/>
      <c r="P128" s="91"/>
      <c r="Q128" s="91"/>
      <c r="R128" s="13">
        <f t="shared" si="14"/>
        <v>0</v>
      </c>
      <c r="S128" s="7">
        <f t="shared" si="10"/>
        <v>0</v>
      </c>
    </row>
    <row r="129" spans="1:19" ht="15">
      <c r="A129" s="4" t="s">
        <v>149</v>
      </c>
      <c r="B129" s="109">
        <v>3000</v>
      </c>
      <c r="C129" s="63">
        <v>280</v>
      </c>
      <c r="D129" s="126"/>
      <c r="E129" s="109">
        <v>500</v>
      </c>
      <c r="F129" s="144">
        <f>+E129-B129</f>
        <v>-2500</v>
      </c>
      <c r="G129" s="128">
        <f t="shared" si="15"/>
        <v>40.7</v>
      </c>
      <c r="H129" s="129">
        <f t="shared" si="16"/>
        <v>60.6</v>
      </c>
      <c r="I129" s="91"/>
      <c r="J129" s="130"/>
      <c r="K129" s="130"/>
      <c r="L129" s="109"/>
      <c r="M129" s="109"/>
      <c r="N129" s="109"/>
      <c r="O129" s="109"/>
      <c r="P129" s="130"/>
      <c r="Q129" s="68">
        <v>2381</v>
      </c>
      <c r="R129" s="13">
        <f t="shared" si="14"/>
        <v>2482.3</v>
      </c>
      <c r="S129" s="7">
        <f t="shared" si="10"/>
        <v>1982.3000000000002</v>
      </c>
    </row>
    <row r="130" spans="1:19" ht="15.75" thickBot="1">
      <c r="A130" s="52" t="s">
        <v>57</v>
      </c>
      <c r="B130" s="112"/>
      <c r="C130" s="65">
        <v>441.6</v>
      </c>
      <c r="D130" s="126"/>
      <c r="E130" s="112"/>
      <c r="F130" s="162">
        <f>+E130-B130</f>
        <v>0</v>
      </c>
      <c r="G130" s="141">
        <f>+E130*0.0861</f>
        <v>0</v>
      </c>
      <c r="H130" s="186">
        <f>+E130*0.1201</f>
        <v>0</v>
      </c>
      <c r="I130" s="111"/>
      <c r="J130" s="148"/>
      <c r="K130" s="148"/>
      <c r="L130" s="148"/>
      <c r="M130" s="148"/>
      <c r="N130" s="148"/>
      <c r="O130" s="148"/>
      <c r="P130" s="148"/>
      <c r="Q130" s="163"/>
      <c r="R130" s="13">
        <f t="shared" si="14"/>
        <v>0</v>
      </c>
      <c r="S130" s="7"/>
    </row>
    <row r="131" spans="1:19" ht="15.75" thickBot="1">
      <c r="A131" s="48" t="s">
        <v>6</v>
      </c>
      <c r="B131" s="57">
        <f>SUM(B65:B130)</f>
        <v>749365</v>
      </c>
      <c r="C131" s="164">
        <f aca="true" t="shared" si="17" ref="C131:Q131">SUM(C65:C130)</f>
        <v>333167.85599999997</v>
      </c>
      <c r="D131" s="165">
        <f t="shared" si="17"/>
        <v>430960</v>
      </c>
      <c r="E131" s="57">
        <f t="shared" si="17"/>
        <v>823523.4481068001</v>
      </c>
      <c r="F131" s="166">
        <f t="shared" si="17"/>
        <v>74158.44810679996</v>
      </c>
      <c r="G131" s="86">
        <f t="shared" si="17"/>
        <v>191871.07830000005</v>
      </c>
      <c r="H131" s="79">
        <f t="shared" si="17"/>
        <v>181349.94372000007</v>
      </c>
      <c r="I131" s="40">
        <f t="shared" si="17"/>
        <v>0</v>
      </c>
      <c r="J131" s="57">
        <f t="shared" si="17"/>
        <v>0</v>
      </c>
      <c r="K131" s="57">
        <f t="shared" si="17"/>
        <v>0</v>
      </c>
      <c r="L131" s="57">
        <f t="shared" si="17"/>
        <v>0</v>
      </c>
      <c r="M131" s="57">
        <f t="shared" si="17"/>
        <v>0</v>
      </c>
      <c r="N131" s="57">
        <f t="shared" si="17"/>
        <v>0</v>
      </c>
      <c r="O131" s="57">
        <f t="shared" si="17"/>
        <v>0</v>
      </c>
      <c r="P131" s="57">
        <f t="shared" si="17"/>
        <v>0</v>
      </c>
      <c r="Q131" s="57">
        <f t="shared" si="17"/>
        <v>412430</v>
      </c>
      <c r="R131" s="15">
        <f>SUM(G131:Q131)-1</f>
        <v>785650.0220200001</v>
      </c>
      <c r="S131" s="7">
        <f>+R131-E131</f>
        <v>-37873.42608679994</v>
      </c>
    </row>
    <row r="132" spans="1:18" ht="18">
      <c r="A132" s="69"/>
      <c r="B132" s="104" t="s">
        <v>61</v>
      </c>
      <c r="C132" s="104" t="s">
        <v>105</v>
      </c>
      <c r="D132" s="117" t="s">
        <v>110</v>
      </c>
      <c r="E132" s="104" t="s">
        <v>61</v>
      </c>
      <c r="F132" s="118" t="s">
        <v>113</v>
      </c>
      <c r="G132" s="87" t="s">
        <v>63</v>
      </c>
      <c r="H132" s="80" t="s">
        <v>64</v>
      </c>
      <c r="I132" s="58" t="s">
        <v>66</v>
      </c>
      <c r="J132" s="59" t="s">
        <v>65</v>
      </c>
      <c r="K132" s="59" t="s">
        <v>67</v>
      </c>
      <c r="L132" s="59" t="s">
        <v>68</v>
      </c>
      <c r="M132" s="59" t="s">
        <v>69</v>
      </c>
      <c r="N132" s="59" t="s">
        <v>70</v>
      </c>
      <c r="O132" s="59" t="s">
        <v>71</v>
      </c>
      <c r="P132" s="59" t="s">
        <v>72</v>
      </c>
      <c r="Q132" s="59" t="s">
        <v>114</v>
      </c>
      <c r="R132" s="7"/>
    </row>
    <row r="133" spans="1:18" ht="18.75" thickBot="1">
      <c r="A133" s="72"/>
      <c r="B133" s="106" t="str">
        <f>+B4</f>
        <v>2019-2020</v>
      </c>
      <c r="C133" s="105" t="str">
        <f>+C4</f>
        <v>Jul-Dec</v>
      </c>
      <c r="D133" s="167" t="str">
        <f>+D4</f>
        <v>2019-2020</v>
      </c>
      <c r="E133" s="106" t="str">
        <f>+E4</f>
        <v>2020-2021</v>
      </c>
      <c r="F133" s="119" t="s">
        <v>112</v>
      </c>
      <c r="G133" s="84" t="s">
        <v>73</v>
      </c>
      <c r="H133" s="77" t="s">
        <v>74</v>
      </c>
      <c r="I133" s="39" t="s">
        <v>74</v>
      </c>
      <c r="J133" s="8" t="s">
        <v>74</v>
      </c>
      <c r="K133" s="8" t="s">
        <v>74</v>
      </c>
      <c r="L133" s="8" t="s">
        <v>75</v>
      </c>
      <c r="M133" s="8" t="s">
        <v>75</v>
      </c>
      <c r="N133" s="8" t="s">
        <v>75</v>
      </c>
      <c r="O133" s="8" t="s">
        <v>76</v>
      </c>
      <c r="P133" s="8" t="s">
        <v>74</v>
      </c>
      <c r="Q133" s="8" t="s">
        <v>75</v>
      </c>
      <c r="R133" s="9" t="s">
        <v>116</v>
      </c>
    </row>
    <row r="134" spans="1:19" ht="15">
      <c r="A134" s="73" t="s">
        <v>58</v>
      </c>
      <c r="B134" s="18">
        <f>B59</f>
        <v>749365</v>
      </c>
      <c r="C134" s="18">
        <f>C59</f>
        <v>385784.11000000004</v>
      </c>
      <c r="D134" s="168">
        <f>D59</f>
        <v>672963.3200000001</v>
      </c>
      <c r="E134" s="18">
        <f>E59</f>
        <v>785872</v>
      </c>
      <c r="F134" s="157">
        <f>+E134-B134</f>
        <v>36507</v>
      </c>
      <c r="G134" s="86">
        <f aca="true" t="shared" si="18" ref="G134:R134">G59</f>
        <v>190480</v>
      </c>
      <c r="H134" s="79">
        <f t="shared" si="18"/>
        <v>180081</v>
      </c>
      <c r="I134" s="40">
        <f t="shared" si="18"/>
        <v>0</v>
      </c>
      <c r="J134" s="18">
        <f t="shared" si="18"/>
        <v>0</v>
      </c>
      <c r="K134" s="18">
        <f t="shared" si="18"/>
        <v>0</v>
      </c>
      <c r="L134" s="18">
        <f t="shared" si="18"/>
        <v>0</v>
      </c>
      <c r="M134" s="18">
        <f t="shared" si="18"/>
        <v>0</v>
      </c>
      <c r="N134" s="18">
        <f t="shared" si="18"/>
        <v>0</v>
      </c>
      <c r="O134" s="18">
        <f t="shared" si="18"/>
        <v>0</v>
      </c>
      <c r="P134" s="18">
        <f t="shared" si="18"/>
        <v>0</v>
      </c>
      <c r="Q134" s="18">
        <f t="shared" si="18"/>
        <v>420150</v>
      </c>
      <c r="R134" s="18">
        <f t="shared" si="18"/>
        <v>790711</v>
      </c>
      <c r="S134" s="7">
        <f>+R134-E134</f>
        <v>4839</v>
      </c>
    </row>
    <row r="135" spans="1:19" ht="15.75" thickBot="1">
      <c r="A135" s="73" t="s">
        <v>59</v>
      </c>
      <c r="B135" s="19">
        <f>B131</f>
        <v>749365</v>
      </c>
      <c r="C135" s="19">
        <f>C131</f>
        <v>333167.85599999997</v>
      </c>
      <c r="D135" s="169">
        <f>D131</f>
        <v>430960</v>
      </c>
      <c r="E135" s="19">
        <f>E131</f>
        <v>823523.4481068001</v>
      </c>
      <c r="F135" s="170">
        <f>+E135-B135</f>
        <v>74158.44810680009</v>
      </c>
      <c r="G135" s="88">
        <f aca="true" t="shared" si="19" ref="G135:R135">G131</f>
        <v>191871.07830000005</v>
      </c>
      <c r="H135" s="81">
        <f t="shared" si="19"/>
        <v>181349.94372000007</v>
      </c>
      <c r="I135" s="41">
        <f t="shared" si="19"/>
        <v>0</v>
      </c>
      <c r="J135" s="19">
        <f>J131</f>
        <v>0</v>
      </c>
      <c r="K135" s="19">
        <f t="shared" si="19"/>
        <v>0</v>
      </c>
      <c r="L135" s="19">
        <f t="shared" si="19"/>
        <v>0</v>
      </c>
      <c r="M135" s="19">
        <f t="shared" si="19"/>
        <v>0</v>
      </c>
      <c r="N135" s="19">
        <f t="shared" si="19"/>
        <v>0</v>
      </c>
      <c r="O135" s="19">
        <f t="shared" si="19"/>
        <v>0</v>
      </c>
      <c r="P135" s="19">
        <f t="shared" si="19"/>
        <v>0</v>
      </c>
      <c r="Q135" s="19">
        <f>Q131</f>
        <v>412430</v>
      </c>
      <c r="R135" s="19">
        <f t="shared" si="19"/>
        <v>785650.0220200001</v>
      </c>
      <c r="S135" s="7">
        <f>+R135-E135</f>
        <v>-37873.42608679994</v>
      </c>
    </row>
    <row r="136" spans="1:19" ht="15.75" thickBot="1">
      <c r="A136" s="74" t="s">
        <v>60</v>
      </c>
      <c r="B136" s="114">
        <f>+B134-B135</f>
        <v>0</v>
      </c>
      <c r="C136" s="114">
        <f>+C134-C135</f>
        <v>52616.25400000007</v>
      </c>
      <c r="D136" s="171">
        <f aca="true" t="shared" si="20" ref="D136:I136">+D134-D135</f>
        <v>242003.32000000007</v>
      </c>
      <c r="E136" s="114">
        <f t="shared" si="20"/>
        <v>-37651.44810680009</v>
      </c>
      <c r="F136" s="172">
        <f t="shared" si="20"/>
        <v>-37651.44810680009</v>
      </c>
      <c r="G136" s="89">
        <f t="shared" si="20"/>
        <v>-1391.078300000052</v>
      </c>
      <c r="H136" s="82">
        <f t="shared" si="20"/>
        <v>-1268.9437200000684</v>
      </c>
      <c r="I136" s="42">
        <f t="shared" si="20"/>
        <v>0</v>
      </c>
      <c r="J136" s="20">
        <f>+J134-J135</f>
        <v>0</v>
      </c>
      <c r="K136" s="20">
        <f aca="true" t="shared" si="21" ref="K136:P136">+K134-K135</f>
        <v>0</v>
      </c>
      <c r="L136" s="20">
        <f t="shared" si="21"/>
        <v>0</v>
      </c>
      <c r="M136" s="20">
        <f t="shared" si="21"/>
        <v>0</v>
      </c>
      <c r="N136" s="20">
        <f t="shared" si="21"/>
        <v>0</v>
      </c>
      <c r="O136" s="20">
        <f t="shared" si="21"/>
        <v>0</v>
      </c>
      <c r="P136" s="20">
        <f t="shared" si="21"/>
        <v>0</v>
      </c>
      <c r="Q136" s="20">
        <f>+Q134-Q135</f>
        <v>7720</v>
      </c>
      <c r="R136" s="20">
        <f>+R134-R135</f>
        <v>5060.9779799998505</v>
      </c>
      <c r="S136" s="7">
        <f>+R136-E136</f>
        <v>42712.42608679994</v>
      </c>
    </row>
    <row r="137" ht="14.25">
      <c r="B137" s="173"/>
    </row>
    <row r="138" spans="7:8" ht="14.25">
      <c r="G138">
        <v>90332</v>
      </c>
      <c r="H138">
        <v>73022</v>
      </c>
    </row>
    <row r="140" spans="7:8" ht="14.25">
      <c r="G140">
        <v>160398</v>
      </c>
      <c r="H140">
        <v>165943</v>
      </c>
    </row>
    <row r="141" ht="14.25">
      <c r="B141" s="174"/>
    </row>
    <row r="142" ht="14.25">
      <c r="B142" s="174"/>
    </row>
    <row r="143" ht="14.25">
      <c r="B143" s="174"/>
    </row>
    <row r="144" ht="14.25">
      <c r="B144" s="174"/>
    </row>
    <row r="170" spans="1:19" s="7" customFormat="1" ht="14.25">
      <c r="A170"/>
      <c r="B170" s="174"/>
      <c r="D170" s="3"/>
      <c r="E170" s="103"/>
      <c r="F170" s="103"/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1:19" s="7" customFormat="1" ht="14.25">
      <c r="A171"/>
      <c r="B171" s="174"/>
      <c r="D171" s="3"/>
      <c r="E171" s="103"/>
      <c r="F171" s="103"/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1:19" s="7" customFormat="1" ht="14.25">
      <c r="A172"/>
      <c r="B172" s="174"/>
      <c r="D172" s="3"/>
      <c r="E172" s="103"/>
      <c r="F172" s="103"/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1:19" s="7" customFormat="1" ht="14.25">
      <c r="A173"/>
      <c r="B173" s="174"/>
      <c r="D173" s="3"/>
      <c r="E173" s="103"/>
      <c r="F173" s="103"/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1:19" s="7" customFormat="1" ht="14.25">
      <c r="A174"/>
      <c r="B174" s="174"/>
      <c r="D174" s="3"/>
      <c r="E174" s="103"/>
      <c r="F174" s="103"/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1:19" s="7" customFormat="1" ht="14.25">
      <c r="A175"/>
      <c r="B175" s="174"/>
      <c r="D175" s="3"/>
      <c r="E175" s="103"/>
      <c r="F175" s="103"/>
      <c r="G175"/>
      <c r="H175"/>
      <c r="I175"/>
      <c r="J175"/>
      <c r="K175"/>
      <c r="L175"/>
      <c r="M175"/>
      <c r="N175"/>
      <c r="O175"/>
      <c r="P175"/>
      <c r="Q175"/>
      <c r="R175"/>
      <c r="S175"/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scale="70" r:id="rId1"/>
  <headerFooter alignWithMargins="0">
    <oddFooter>&amp;L&amp;Z&amp;F&amp;R&amp;"Arial,Bold"Page&amp;P</oddFooter>
  </headerFooter>
  <rowBreaks count="2" manualBreakCount="2">
    <brk id="60" max="7" man="1"/>
    <brk id="117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5"/>
  <sheetViews>
    <sheetView view="pageBreakPreview" zoomScaleSheetLayoutView="100" zoomScalePageLayoutView="0" workbookViewId="0" topLeftCell="A1">
      <pane xSplit="1" ySplit="4" topLeftCell="B101" activePane="bottomRight" state="frozen"/>
      <selection pane="topLeft" activeCell="K112" sqref="K112"/>
      <selection pane="topRight" activeCell="K112" sqref="K112"/>
      <selection pane="bottomLeft" activeCell="K112" sqref="K112"/>
      <selection pane="bottomRight" activeCell="B43" sqref="A43:IV43"/>
    </sheetView>
  </sheetViews>
  <sheetFormatPr defaultColWidth="9.140625" defaultRowHeight="12.75"/>
  <cols>
    <col min="1" max="1" width="34.421875" style="0" customWidth="1"/>
    <col min="2" max="2" width="13.140625" style="3" customWidth="1"/>
    <col min="3" max="3" width="13.7109375" style="7" hidden="1" customWidth="1"/>
    <col min="4" max="6" width="13.7109375" style="103" customWidth="1"/>
    <col min="7" max="7" width="14.7109375" style="0" hidden="1" customWidth="1"/>
    <col min="8" max="8" width="13.7109375" style="0" hidden="1" customWidth="1"/>
    <col min="9" max="10" width="11.00390625" style="0" hidden="1" customWidth="1"/>
    <col min="11" max="11" width="12.421875" style="0" hidden="1" customWidth="1"/>
    <col min="12" max="12" width="11.7109375" style="0" hidden="1" customWidth="1"/>
    <col min="13" max="13" width="16.28125" style="0" hidden="1" customWidth="1"/>
    <col min="14" max="14" width="14.00390625" style="0" hidden="1" customWidth="1"/>
    <col min="15" max="15" width="13.28125" style="0" hidden="1" customWidth="1"/>
    <col min="16" max="16" width="11.7109375" style="0" hidden="1" customWidth="1"/>
    <col min="17" max="17" width="13.8515625" style="0" hidden="1" customWidth="1"/>
    <col min="18" max="18" width="13.28125" style="0" hidden="1" customWidth="1"/>
    <col min="19" max="19" width="10.57421875" style="0" hidden="1" customWidth="1"/>
  </cols>
  <sheetData>
    <row r="1" spans="1:3" ht="18">
      <c r="A1" s="1" t="s">
        <v>77</v>
      </c>
      <c r="B1" s="115"/>
      <c r="C1" s="62"/>
    </row>
    <row r="2" spans="1:5" ht="18.75" thickBot="1">
      <c r="A2" s="189" t="s">
        <v>204</v>
      </c>
      <c r="B2" s="190"/>
      <c r="C2" s="190"/>
      <c r="D2" s="190"/>
      <c r="E2" s="190"/>
    </row>
    <row r="3" spans="1:18" ht="18">
      <c r="A3" s="69"/>
      <c r="B3" s="104" t="s">
        <v>123</v>
      </c>
      <c r="C3" s="104" t="s">
        <v>105</v>
      </c>
      <c r="D3" s="104" t="s">
        <v>201</v>
      </c>
      <c r="E3" s="104" t="s">
        <v>202</v>
      </c>
      <c r="F3" s="118" t="s">
        <v>113</v>
      </c>
      <c r="G3" s="83" t="s">
        <v>63</v>
      </c>
      <c r="H3" s="76" t="s">
        <v>64</v>
      </c>
      <c r="I3" s="38" t="s">
        <v>66</v>
      </c>
      <c r="J3" s="6" t="s">
        <v>65</v>
      </c>
      <c r="K3" s="6" t="s">
        <v>67</v>
      </c>
      <c r="L3" s="6" t="s">
        <v>68</v>
      </c>
      <c r="M3" s="6" t="s">
        <v>69</v>
      </c>
      <c r="N3" s="6" t="s">
        <v>70</v>
      </c>
      <c r="O3" s="6" t="s">
        <v>71</v>
      </c>
      <c r="P3" s="6" t="s">
        <v>72</v>
      </c>
      <c r="Q3" s="6" t="s">
        <v>114</v>
      </c>
      <c r="R3" s="7"/>
    </row>
    <row r="4" spans="1:18" ht="18.75" thickBot="1">
      <c r="A4" s="2"/>
      <c r="B4" s="106" t="s">
        <v>179</v>
      </c>
      <c r="C4" s="106" t="s">
        <v>111</v>
      </c>
      <c r="D4" s="106" t="s">
        <v>188</v>
      </c>
      <c r="E4" s="106" t="s">
        <v>188</v>
      </c>
      <c r="F4" s="119" t="s">
        <v>112</v>
      </c>
      <c r="G4" s="84" t="s">
        <v>73</v>
      </c>
      <c r="H4" s="77" t="s">
        <v>74</v>
      </c>
      <c r="I4" s="39" t="s">
        <v>74</v>
      </c>
      <c r="J4" s="8" t="s">
        <v>74</v>
      </c>
      <c r="K4" s="8" t="s">
        <v>74</v>
      </c>
      <c r="L4" s="8" t="s">
        <v>75</v>
      </c>
      <c r="M4" s="8" t="s">
        <v>75</v>
      </c>
      <c r="N4" s="8" t="s">
        <v>75</v>
      </c>
      <c r="O4" s="8" t="s">
        <v>76</v>
      </c>
      <c r="P4" s="8" t="s">
        <v>74</v>
      </c>
      <c r="Q4" s="8" t="s">
        <v>75</v>
      </c>
      <c r="R4" s="9" t="s">
        <v>116</v>
      </c>
    </row>
    <row r="5" spans="1:18" ht="18.75" thickBot="1">
      <c r="A5" s="56" t="s">
        <v>0</v>
      </c>
      <c r="B5" s="120"/>
      <c r="C5" s="121"/>
      <c r="D5" s="120"/>
      <c r="E5" s="120"/>
      <c r="F5" s="123"/>
      <c r="G5" s="85"/>
      <c r="H5" s="78"/>
      <c r="I5" s="53"/>
      <c r="J5" s="54"/>
      <c r="K5" s="54"/>
      <c r="L5" s="54"/>
      <c r="M5" s="54"/>
      <c r="N5" s="54"/>
      <c r="O5" s="54"/>
      <c r="P5" s="54"/>
      <c r="Q5" s="54"/>
      <c r="R5" s="55"/>
    </row>
    <row r="6" spans="1:18" ht="15">
      <c r="A6" s="46" t="s">
        <v>1</v>
      </c>
      <c r="B6" s="91"/>
      <c r="C6" s="91"/>
      <c r="D6" s="91"/>
      <c r="E6" s="91"/>
      <c r="F6" s="125"/>
      <c r="G6" s="86"/>
      <c r="H6" s="79"/>
      <c r="I6" s="40"/>
      <c r="J6" s="40"/>
      <c r="K6" s="40"/>
      <c r="L6" s="40"/>
      <c r="M6" s="40"/>
      <c r="N6" s="40"/>
      <c r="O6" s="40"/>
      <c r="P6" s="40"/>
      <c r="Q6" s="40"/>
      <c r="R6" s="10"/>
    </row>
    <row r="7" spans="1:19" ht="15">
      <c r="A7" s="47" t="s">
        <v>2</v>
      </c>
      <c r="B7" s="68">
        <v>459500</v>
      </c>
      <c r="C7" s="63">
        <v>229750</v>
      </c>
      <c r="D7" s="68">
        <v>492000</v>
      </c>
      <c r="E7" s="68">
        <v>466100</v>
      </c>
      <c r="F7" s="127">
        <f>+E7-B7</f>
        <v>6600</v>
      </c>
      <c r="G7" s="128">
        <v>108880</v>
      </c>
      <c r="H7" s="129">
        <v>76481</v>
      </c>
      <c r="I7" s="91"/>
      <c r="J7" s="68"/>
      <c r="K7" s="130"/>
      <c r="L7" s="68"/>
      <c r="M7" s="68"/>
      <c r="N7" s="68"/>
      <c r="O7" s="68"/>
      <c r="P7" s="68"/>
      <c r="Q7" s="68">
        <v>286462</v>
      </c>
      <c r="R7" s="11">
        <f aca="true" t="shared" si="0" ref="R7:R76">SUM(G7:Q7)</f>
        <v>471823</v>
      </c>
      <c r="S7" s="7">
        <f aca="true" t="shared" si="1" ref="S7:S60">+R7-E7</f>
        <v>5723</v>
      </c>
    </row>
    <row r="8" spans="1:19" ht="15">
      <c r="A8" s="47" t="s">
        <v>3</v>
      </c>
      <c r="B8" s="68">
        <v>35000</v>
      </c>
      <c r="C8" s="63">
        <v>16500</v>
      </c>
      <c r="D8" s="68">
        <v>40000</v>
      </c>
      <c r="E8" s="68">
        <v>28249</v>
      </c>
      <c r="F8" s="127">
        <f>+E8-B8</f>
        <v>-6751</v>
      </c>
      <c r="G8" s="128">
        <v>15000</v>
      </c>
      <c r="H8" s="129">
        <v>25000</v>
      </c>
      <c r="I8" s="91"/>
      <c r="J8" s="130"/>
      <c r="K8" s="130"/>
      <c r="L8" s="130"/>
      <c r="M8" s="130"/>
      <c r="N8" s="130"/>
      <c r="O8" s="130"/>
      <c r="P8" s="130"/>
      <c r="Q8" s="68"/>
      <c r="R8" s="7">
        <f t="shared" si="0"/>
        <v>40000</v>
      </c>
      <c r="S8" s="7">
        <f t="shared" si="1"/>
        <v>11751</v>
      </c>
    </row>
    <row r="9" spans="1:19" ht="15">
      <c r="A9" s="47" t="s">
        <v>4</v>
      </c>
      <c r="B9" s="109">
        <v>20050</v>
      </c>
      <c r="C9" s="63">
        <v>10026</v>
      </c>
      <c r="D9" s="109">
        <v>20050</v>
      </c>
      <c r="E9" s="109">
        <v>20050</v>
      </c>
      <c r="F9" s="127">
        <f>+E9-B9</f>
        <v>0</v>
      </c>
      <c r="G9" s="128"/>
      <c r="H9" s="129"/>
      <c r="I9" s="91"/>
      <c r="J9" s="130"/>
      <c r="K9" s="130"/>
      <c r="L9" s="68"/>
      <c r="M9" s="68"/>
      <c r="N9" s="68"/>
      <c r="O9" s="68"/>
      <c r="P9" s="130"/>
      <c r="Q9" s="68">
        <v>20050</v>
      </c>
      <c r="R9" s="7">
        <f t="shared" si="0"/>
        <v>20050</v>
      </c>
      <c r="S9" s="7">
        <f t="shared" si="1"/>
        <v>0</v>
      </c>
    </row>
    <row r="10" spans="1:19" ht="15">
      <c r="A10" s="4" t="s">
        <v>109</v>
      </c>
      <c r="B10" s="109">
        <v>5000</v>
      </c>
      <c r="C10" s="63"/>
      <c r="D10" s="109">
        <v>5000</v>
      </c>
      <c r="E10" s="109">
        <v>5000</v>
      </c>
      <c r="F10" s="127">
        <f>+E10-B10</f>
        <v>0</v>
      </c>
      <c r="G10" s="128"/>
      <c r="H10" s="129"/>
      <c r="I10" s="91"/>
      <c r="J10" s="130"/>
      <c r="K10" s="130"/>
      <c r="L10" s="130"/>
      <c r="M10" s="68"/>
      <c r="N10" s="68"/>
      <c r="O10" s="130"/>
      <c r="P10" s="130"/>
      <c r="Q10" s="68"/>
      <c r="R10" s="7">
        <f t="shared" si="0"/>
        <v>0</v>
      </c>
      <c r="S10" s="7">
        <f t="shared" si="1"/>
        <v>-5000</v>
      </c>
    </row>
    <row r="11" spans="1:19" ht="15.75" thickBot="1">
      <c r="A11" s="4" t="s">
        <v>5</v>
      </c>
      <c r="B11" s="109">
        <v>12550</v>
      </c>
      <c r="C11" s="64">
        <v>6279</v>
      </c>
      <c r="D11" s="109">
        <v>12550</v>
      </c>
      <c r="E11" s="109">
        <v>12550</v>
      </c>
      <c r="F11" s="127">
        <f>+E11-B11</f>
        <v>0</v>
      </c>
      <c r="G11" s="128"/>
      <c r="H11" s="129"/>
      <c r="I11" s="91"/>
      <c r="J11" s="130"/>
      <c r="K11" s="130"/>
      <c r="L11" s="68"/>
      <c r="M11" s="68"/>
      <c r="N11" s="68"/>
      <c r="O11" s="68"/>
      <c r="P11" s="130"/>
      <c r="Q11" s="68">
        <v>12550</v>
      </c>
      <c r="R11" s="7">
        <f t="shared" si="0"/>
        <v>12550</v>
      </c>
      <c r="S11" s="7">
        <f t="shared" si="1"/>
        <v>0</v>
      </c>
    </row>
    <row r="12" spans="1:19" ht="15.75" thickBot="1">
      <c r="A12" s="48" t="s">
        <v>6</v>
      </c>
      <c r="B12" s="110">
        <f>SUM(B7:B11)</f>
        <v>532100</v>
      </c>
      <c r="C12" s="43">
        <f aca="true" t="shared" si="2" ref="C12:Q12">SUM(C7:C11)</f>
        <v>262555</v>
      </c>
      <c r="D12" s="110">
        <f t="shared" si="2"/>
        <v>569600</v>
      </c>
      <c r="E12" s="110">
        <f t="shared" si="2"/>
        <v>531949</v>
      </c>
      <c r="F12" s="132">
        <f t="shared" si="2"/>
        <v>-151</v>
      </c>
      <c r="G12" s="133">
        <f t="shared" si="2"/>
        <v>123880</v>
      </c>
      <c r="H12" s="134">
        <f t="shared" si="2"/>
        <v>101481</v>
      </c>
      <c r="I12" s="135">
        <f t="shared" si="2"/>
        <v>0</v>
      </c>
      <c r="J12" s="136">
        <f t="shared" si="2"/>
        <v>0</v>
      </c>
      <c r="K12" s="136">
        <f t="shared" si="2"/>
        <v>0</v>
      </c>
      <c r="L12" s="136">
        <f t="shared" si="2"/>
        <v>0</v>
      </c>
      <c r="M12" s="136">
        <f t="shared" si="2"/>
        <v>0</v>
      </c>
      <c r="N12" s="136">
        <f t="shared" si="2"/>
        <v>0</v>
      </c>
      <c r="O12" s="136">
        <f t="shared" si="2"/>
        <v>0</v>
      </c>
      <c r="P12" s="136">
        <f t="shared" si="2"/>
        <v>0</v>
      </c>
      <c r="Q12" s="110">
        <f t="shared" si="2"/>
        <v>319062</v>
      </c>
      <c r="R12" s="12">
        <f t="shared" si="0"/>
        <v>544423</v>
      </c>
      <c r="S12" s="7">
        <f t="shared" si="1"/>
        <v>12474</v>
      </c>
    </row>
    <row r="13" spans="1:19" ht="15">
      <c r="A13" s="46" t="s">
        <v>7</v>
      </c>
      <c r="B13" s="91"/>
      <c r="C13" s="137"/>
      <c r="D13" s="91"/>
      <c r="E13" s="91"/>
      <c r="F13" s="125"/>
      <c r="G13" s="128"/>
      <c r="H13" s="129"/>
      <c r="I13" s="91"/>
      <c r="J13" s="91"/>
      <c r="K13" s="91"/>
      <c r="L13" s="91"/>
      <c r="M13" s="91"/>
      <c r="N13" s="91"/>
      <c r="O13" s="91"/>
      <c r="P13" s="91"/>
      <c r="Q13" s="91"/>
      <c r="R13" s="13">
        <f t="shared" si="0"/>
        <v>0</v>
      </c>
      <c r="S13" s="7">
        <f t="shared" si="1"/>
        <v>0</v>
      </c>
    </row>
    <row r="14" spans="1:19" ht="15">
      <c r="A14" s="46" t="s">
        <v>8</v>
      </c>
      <c r="B14" s="91"/>
      <c r="C14" s="137"/>
      <c r="D14" s="91"/>
      <c r="E14" s="91"/>
      <c r="F14" s="125"/>
      <c r="G14" s="128"/>
      <c r="H14" s="129"/>
      <c r="I14" s="91"/>
      <c r="J14" s="91"/>
      <c r="K14" s="91"/>
      <c r="L14" s="91"/>
      <c r="M14" s="91"/>
      <c r="N14" s="91"/>
      <c r="O14" s="91"/>
      <c r="P14" s="91"/>
      <c r="Q14" s="91"/>
      <c r="R14" s="13">
        <f t="shared" si="0"/>
        <v>0</v>
      </c>
      <c r="S14" s="7">
        <f t="shared" si="1"/>
        <v>0</v>
      </c>
    </row>
    <row r="15" spans="1:19" ht="15.75" thickBot="1">
      <c r="A15" s="46" t="s">
        <v>9</v>
      </c>
      <c r="B15" s="111"/>
      <c r="C15" s="138"/>
      <c r="D15" s="111"/>
      <c r="E15" s="111"/>
      <c r="F15" s="140"/>
      <c r="G15" s="141"/>
      <c r="H15" s="142"/>
      <c r="I15" s="111"/>
      <c r="J15" s="111"/>
      <c r="K15" s="111"/>
      <c r="L15" s="111"/>
      <c r="M15" s="111"/>
      <c r="N15" s="111"/>
      <c r="O15" s="111"/>
      <c r="P15" s="111"/>
      <c r="Q15" s="143"/>
      <c r="R15" s="14">
        <f t="shared" si="0"/>
        <v>0</v>
      </c>
      <c r="S15" s="7">
        <f t="shared" si="1"/>
        <v>0</v>
      </c>
    </row>
    <row r="16" spans="1:19" ht="15">
      <c r="A16" s="4" t="s">
        <v>99</v>
      </c>
      <c r="B16" s="109"/>
      <c r="C16" s="66"/>
      <c r="D16" s="109"/>
      <c r="E16" s="109"/>
      <c r="F16" s="127"/>
      <c r="G16" s="128"/>
      <c r="H16" s="129"/>
      <c r="I16" s="91"/>
      <c r="J16" s="130"/>
      <c r="K16" s="130"/>
      <c r="L16" s="130"/>
      <c r="M16" s="130"/>
      <c r="N16" s="130"/>
      <c r="O16" s="130"/>
      <c r="P16" s="130"/>
      <c r="Q16" s="68">
        <v>0</v>
      </c>
      <c r="R16" s="7">
        <f t="shared" si="0"/>
        <v>0</v>
      </c>
      <c r="S16" s="7">
        <f t="shared" si="1"/>
        <v>0</v>
      </c>
    </row>
    <row r="17" spans="1:19" ht="15">
      <c r="A17" s="4" t="s">
        <v>100</v>
      </c>
      <c r="B17" s="109"/>
      <c r="C17" s="64"/>
      <c r="D17" s="109"/>
      <c r="E17" s="109"/>
      <c r="F17" s="127">
        <f aca="true" t="shared" si="3" ref="F17:F22">+E17-D17</f>
        <v>0</v>
      </c>
      <c r="G17" s="128"/>
      <c r="H17" s="129"/>
      <c r="I17" s="91"/>
      <c r="J17" s="130"/>
      <c r="K17" s="130"/>
      <c r="L17" s="130"/>
      <c r="M17" s="130"/>
      <c r="N17" s="130"/>
      <c r="O17" s="130"/>
      <c r="P17" s="130"/>
      <c r="Q17" s="68">
        <f>+E17-G17-H17</f>
        <v>0</v>
      </c>
      <c r="R17" s="7">
        <f t="shared" si="0"/>
        <v>0</v>
      </c>
      <c r="S17" s="7">
        <f t="shared" si="1"/>
        <v>0</v>
      </c>
    </row>
    <row r="18" spans="1:19" ht="15">
      <c r="A18" s="4" t="s">
        <v>115</v>
      </c>
      <c r="B18" s="109"/>
      <c r="C18" s="64"/>
      <c r="D18" s="109"/>
      <c r="E18" s="109"/>
      <c r="F18" s="127">
        <f t="shared" si="3"/>
        <v>0</v>
      </c>
      <c r="G18" s="128"/>
      <c r="H18" s="129"/>
      <c r="I18" s="91"/>
      <c r="J18" s="130"/>
      <c r="K18" s="130"/>
      <c r="L18" s="130"/>
      <c r="M18" s="130"/>
      <c r="N18" s="130"/>
      <c r="O18" s="130"/>
      <c r="P18" s="130"/>
      <c r="Q18" s="68">
        <f>+E18-G18-H18</f>
        <v>0</v>
      </c>
      <c r="R18" s="7">
        <f t="shared" si="0"/>
        <v>0</v>
      </c>
      <c r="S18" s="7">
        <f t="shared" si="1"/>
        <v>0</v>
      </c>
    </row>
    <row r="19" spans="1:19" ht="15">
      <c r="A19" s="4" t="s">
        <v>101</v>
      </c>
      <c r="B19" s="109"/>
      <c r="C19" s="64"/>
      <c r="D19" s="109"/>
      <c r="E19" s="109"/>
      <c r="F19" s="127">
        <f t="shared" si="3"/>
        <v>0</v>
      </c>
      <c r="G19" s="128"/>
      <c r="H19" s="129"/>
      <c r="I19" s="91"/>
      <c r="J19" s="130"/>
      <c r="K19" s="130"/>
      <c r="L19" s="130"/>
      <c r="M19" s="130"/>
      <c r="N19" s="130"/>
      <c r="O19" s="130"/>
      <c r="P19" s="130"/>
      <c r="Q19" s="68">
        <f>+E19-G19-H19</f>
        <v>0</v>
      </c>
      <c r="R19" s="7">
        <f t="shared" si="0"/>
        <v>0</v>
      </c>
      <c r="S19" s="7">
        <f t="shared" si="1"/>
        <v>0</v>
      </c>
    </row>
    <row r="20" spans="1:19" ht="15">
      <c r="A20" s="4" t="s">
        <v>102</v>
      </c>
      <c r="B20" s="109"/>
      <c r="C20" s="64"/>
      <c r="D20" s="109"/>
      <c r="E20" s="109"/>
      <c r="F20" s="127">
        <f t="shared" si="3"/>
        <v>0</v>
      </c>
      <c r="G20" s="128"/>
      <c r="H20" s="129"/>
      <c r="I20" s="91"/>
      <c r="J20" s="130"/>
      <c r="K20" s="130"/>
      <c r="L20" s="130"/>
      <c r="M20" s="130"/>
      <c r="N20" s="130"/>
      <c r="O20" s="130"/>
      <c r="P20" s="130"/>
      <c r="Q20" s="68">
        <v>0</v>
      </c>
      <c r="R20" s="7">
        <f t="shared" si="0"/>
        <v>0</v>
      </c>
      <c r="S20" s="7">
        <f t="shared" si="1"/>
        <v>0</v>
      </c>
    </row>
    <row r="21" spans="1:19" ht="15">
      <c r="A21" s="4" t="s">
        <v>106</v>
      </c>
      <c r="B21" s="109"/>
      <c r="C21" s="64"/>
      <c r="D21" s="109"/>
      <c r="E21" s="109"/>
      <c r="F21" s="144">
        <f t="shared" si="3"/>
        <v>0</v>
      </c>
      <c r="G21" s="128"/>
      <c r="H21" s="129"/>
      <c r="I21" s="91"/>
      <c r="J21" s="130"/>
      <c r="K21" s="130"/>
      <c r="L21" s="130"/>
      <c r="M21" s="130"/>
      <c r="N21" s="130"/>
      <c r="O21" s="130"/>
      <c r="P21" s="130"/>
      <c r="Q21" s="68"/>
      <c r="R21" s="7"/>
      <c r="S21" s="7"/>
    </row>
    <row r="22" spans="1:19" ht="15">
      <c r="A22" s="4" t="s">
        <v>158</v>
      </c>
      <c r="B22" s="109"/>
      <c r="C22" s="64"/>
      <c r="D22" s="109"/>
      <c r="E22" s="109"/>
      <c r="F22" s="144">
        <f t="shared" si="3"/>
        <v>0</v>
      </c>
      <c r="G22" s="128"/>
      <c r="H22" s="129"/>
      <c r="I22" s="91"/>
      <c r="J22" s="130"/>
      <c r="K22" s="130"/>
      <c r="L22" s="130"/>
      <c r="M22" s="130"/>
      <c r="N22" s="130"/>
      <c r="O22" s="130"/>
      <c r="P22" s="130"/>
      <c r="Q22" s="68"/>
      <c r="R22" s="7"/>
      <c r="S22" s="7"/>
    </row>
    <row r="23" spans="1:19" ht="15.75" thickBot="1">
      <c r="A23" s="4" t="s">
        <v>103</v>
      </c>
      <c r="B23" s="109"/>
      <c r="C23" s="67"/>
      <c r="D23" s="109"/>
      <c r="E23" s="109"/>
      <c r="F23" s="127"/>
      <c r="G23" s="128"/>
      <c r="H23" s="129"/>
      <c r="I23" s="91"/>
      <c r="J23" s="130"/>
      <c r="K23" s="68"/>
      <c r="L23" s="130"/>
      <c r="M23" s="130"/>
      <c r="N23" s="130"/>
      <c r="O23" s="130"/>
      <c r="P23" s="130"/>
      <c r="Q23" s="68">
        <v>0</v>
      </c>
      <c r="R23" s="7">
        <f t="shared" si="0"/>
        <v>0</v>
      </c>
      <c r="S23" s="7">
        <f t="shared" si="1"/>
        <v>0</v>
      </c>
    </row>
    <row r="24" spans="1:19" ht="15.75" thickBot="1">
      <c r="A24" s="48" t="s">
        <v>6</v>
      </c>
      <c r="B24" s="43">
        <v>13000</v>
      </c>
      <c r="C24" s="43">
        <v>25478.06</v>
      </c>
      <c r="D24" s="43">
        <v>15000</v>
      </c>
      <c r="E24" s="43">
        <v>15000</v>
      </c>
      <c r="F24" s="132">
        <f>+E24-B24</f>
        <v>2000</v>
      </c>
      <c r="G24" s="133">
        <f aca="true" t="shared" si="4" ref="G24:P24">SUM(G15:G23)</f>
        <v>0</v>
      </c>
      <c r="H24" s="134">
        <f t="shared" si="4"/>
        <v>0</v>
      </c>
      <c r="I24" s="135">
        <f t="shared" si="4"/>
        <v>0</v>
      </c>
      <c r="J24" s="136">
        <f>SUM(J15:J23)</f>
        <v>0</v>
      </c>
      <c r="K24" s="136">
        <f t="shared" si="4"/>
        <v>0</v>
      </c>
      <c r="L24" s="136">
        <f t="shared" si="4"/>
        <v>0</v>
      </c>
      <c r="M24" s="136">
        <f t="shared" si="4"/>
        <v>0</v>
      </c>
      <c r="N24" s="136">
        <f t="shared" si="4"/>
        <v>0</v>
      </c>
      <c r="O24" s="136">
        <f t="shared" si="4"/>
        <v>0</v>
      </c>
      <c r="P24" s="136">
        <f t="shared" si="4"/>
        <v>0</v>
      </c>
      <c r="Q24" s="110">
        <v>13000</v>
      </c>
      <c r="R24" s="44">
        <f t="shared" si="0"/>
        <v>13000</v>
      </c>
      <c r="S24" s="7">
        <f t="shared" si="1"/>
        <v>-2000</v>
      </c>
    </row>
    <row r="25" spans="1:19" ht="15">
      <c r="A25" s="46" t="s">
        <v>10</v>
      </c>
      <c r="B25" s="91"/>
      <c r="C25" s="146"/>
      <c r="D25" s="91"/>
      <c r="E25" s="91"/>
      <c r="F25" s="125"/>
      <c r="G25" s="128"/>
      <c r="H25" s="129"/>
      <c r="I25" s="91"/>
      <c r="J25" s="91"/>
      <c r="K25" s="91"/>
      <c r="L25" s="91"/>
      <c r="M25" s="91"/>
      <c r="N25" s="91"/>
      <c r="O25" s="91"/>
      <c r="P25" s="91"/>
      <c r="Q25" s="91"/>
      <c r="R25" s="13">
        <f t="shared" si="0"/>
        <v>0</v>
      </c>
      <c r="S25" s="7">
        <f t="shared" si="1"/>
        <v>0</v>
      </c>
    </row>
    <row r="26" spans="1:19" ht="15">
      <c r="A26" s="4" t="s">
        <v>11</v>
      </c>
      <c r="B26" s="109">
        <v>49200</v>
      </c>
      <c r="C26" s="63">
        <v>24900</v>
      </c>
      <c r="D26" s="109">
        <v>60200</v>
      </c>
      <c r="E26" s="109">
        <v>60200</v>
      </c>
      <c r="F26" s="144">
        <f>+E26-B26</f>
        <v>11000</v>
      </c>
      <c r="G26" s="109">
        <v>60200</v>
      </c>
      <c r="H26" s="129"/>
      <c r="I26" s="91"/>
      <c r="J26" s="130"/>
      <c r="K26" s="130"/>
      <c r="L26" s="130"/>
      <c r="M26" s="130"/>
      <c r="N26" s="130"/>
      <c r="O26" s="130"/>
      <c r="P26" s="130"/>
      <c r="Q26" s="68"/>
      <c r="R26" s="7">
        <f t="shared" si="0"/>
        <v>60200</v>
      </c>
      <c r="S26" s="7">
        <f t="shared" si="1"/>
        <v>0</v>
      </c>
    </row>
    <row r="27" spans="1:19" ht="15">
      <c r="A27" s="4" t="s">
        <v>157</v>
      </c>
      <c r="B27" s="109">
        <v>7200</v>
      </c>
      <c r="C27" s="64">
        <v>1158.75</v>
      </c>
      <c r="D27" s="109">
        <v>6400</v>
      </c>
      <c r="E27" s="109">
        <v>6400</v>
      </c>
      <c r="F27" s="127">
        <f aca="true" t="shared" si="5" ref="F27:F44">+E27-B27</f>
        <v>-800</v>
      </c>
      <c r="G27" s="109">
        <v>6400</v>
      </c>
      <c r="H27" s="129"/>
      <c r="I27" s="91"/>
      <c r="J27" s="130"/>
      <c r="K27" s="130"/>
      <c r="L27" s="130"/>
      <c r="M27" s="130"/>
      <c r="N27" s="130"/>
      <c r="O27" s="130"/>
      <c r="P27" s="130"/>
      <c r="Q27" s="68"/>
      <c r="R27" s="7">
        <f t="shared" si="0"/>
        <v>6400</v>
      </c>
      <c r="S27" s="7"/>
    </row>
    <row r="28" spans="1:19" ht="15">
      <c r="A28" s="4" t="s">
        <v>155</v>
      </c>
      <c r="B28" s="109">
        <v>0</v>
      </c>
      <c r="C28" s="63">
        <v>0</v>
      </c>
      <c r="D28" s="109"/>
      <c r="E28" s="109"/>
      <c r="F28" s="144">
        <f t="shared" si="5"/>
        <v>0</v>
      </c>
      <c r="G28" s="109">
        <v>0</v>
      </c>
      <c r="H28" s="129"/>
      <c r="I28" s="91"/>
      <c r="J28" s="130"/>
      <c r="K28" s="130"/>
      <c r="L28" s="68"/>
      <c r="M28" s="68"/>
      <c r="N28" s="68"/>
      <c r="O28" s="68"/>
      <c r="P28" s="68"/>
      <c r="Q28" s="68"/>
      <c r="R28" s="7">
        <f t="shared" si="0"/>
        <v>0</v>
      </c>
      <c r="S28" s="7">
        <f t="shared" si="1"/>
        <v>0</v>
      </c>
    </row>
    <row r="29" spans="1:19" ht="15">
      <c r="A29" s="4" t="s">
        <v>170</v>
      </c>
      <c r="B29" s="109">
        <v>16000</v>
      </c>
      <c r="C29" s="63">
        <v>10834.5</v>
      </c>
      <c r="D29" s="109">
        <v>20000</v>
      </c>
      <c r="E29" s="109">
        <v>20000</v>
      </c>
      <c r="F29" s="144">
        <f t="shared" si="5"/>
        <v>4000</v>
      </c>
      <c r="G29" s="128"/>
      <c r="H29" s="129"/>
      <c r="I29" s="91"/>
      <c r="J29" s="130"/>
      <c r="K29" s="130"/>
      <c r="L29" s="130"/>
      <c r="M29" s="130"/>
      <c r="N29" s="130"/>
      <c r="O29" s="130"/>
      <c r="P29" s="130"/>
      <c r="Q29" s="68">
        <v>16000</v>
      </c>
      <c r="R29" s="7">
        <f t="shared" si="0"/>
        <v>16000</v>
      </c>
      <c r="S29" s="7">
        <f t="shared" si="1"/>
        <v>-4000</v>
      </c>
    </row>
    <row r="30" spans="1:19" ht="15">
      <c r="A30" s="4" t="s">
        <v>156</v>
      </c>
      <c r="B30" s="109">
        <v>2000</v>
      </c>
      <c r="C30" s="63">
        <v>333.5</v>
      </c>
      <c r="D30" s="109">
        <v>1000</v>
      </c>
      <c r="E30" s="109">
        <v>1000</v>
      </c>
      <c r="F30" s="144">
        <f t="shared" si="5"/>
        <v>-1000</v>
      </c>
      <c r="G30" s="128"/>
      <c r="H30" s="129"/>
      <c r="I30" s="91"/>
      <c r="J30" s="130"/>
      <c r="K30" s="130"/>
      <c r="L30" s="130"/>
      <c r="M30" s="130"/>
      <c r="N30" s="130"/>
      <c r="O30" s="130"/>
      <c r="P30" s="130"/>
      <c r="Q30" s="68">
        <v>2000</v>
      </c>
      <c r="R30" s="7">
        <f t="shared" si="0"/>
        <v>2000</v>
      </c>
      <c r="S30" s="7">
        <f t="shared" si="1"/>
        <v>1000</v>
      </c>
    </row>
    <row r="31" spans="1:19" ht="15">
      <c r="A31" s="4" t="s">
        <v>12</v>
      </c>
      <c r="B31" s="109">
        <v>1500</v>
      </c>
      <c r="C31" s="63">
        <v>703.98</v>
      </c>
      <c r="D31" s="109">
        <v>1500</v>
      </c>
      <c r="E31" s="109">
        <v>1500</v>
      </c>
      <c r="F31" s="144">
        <f t="shared" si="5"/>
        <v>0</v>
      </c>
      <c r="G31" s="128"/>
      <c r="H31" s="129"/>
      <c r="I31" s="91"/>
      <c r="J31" s="130"/>
      <c r="K31" s="130"/>
      <c r="L31" s="130"/>
      <c r="M31" s="130"/>
      <c r="N31" s="130"/>
      <c r="O31" s="130"/>
      <c r="P31" s="130"/>
      <c r="Q31" s="68">
        <v>1500</v>
      </c>
      <c r="R31" s="7">
        <f t="shared" si="0"/>
        <v>1500</v>
      </c>
      <c r="S31" s="7">
        <f t="shared" si="1"/>
        <v>0</v>
      </c>
    </row>
    <row r="32" spans="1:19" ht="15">
      <c r="A32" s="4" t="s">
        <v>104</v>
      </c>
      <c r="B32" s="109">
        <v>100</v>
      </c>
      <c r="C32" s="63">
        <v>1</v>
      </c>
      <c r="D32" s="109">
        <v>100</v>
      </c>
      <c r="E32" s="109">
        <v>100</v>
      </c>
      <c r="F32" s="144">
        <f t="shared" si="5"/>
        <v>0</v>
      </c>
      <c r="G32" s="128"/>
      <c r="H32" s="129"/>
      <c r="I32" s="91"/>
      <c r="J32" s="130"/>
      <c r="K32" s="130"/>
      <c r="L32" s="130"/>
      <c r="M32" s="130"/>
      <c r="N32" s="130"/>
      <c r="O32" s="130"/>
      <c r="P32" s="130"/>
      <c r="Q32" s="68">
        <v>100</v>
      </c>
      <c r="R32" s="7">
        <f t="shared" si="0"/>
        <v>100</v>
      </c>
      <c r="S32" s="7">
        <f t="shared" si="1"/>
        <v>0</v>
      </c>
    </row>
    <row r="33" spans="1:19" ht="15">
      <c r="A33" s="4" t="s">
        <v>13</v>
      </c>
      <c r="B33" s="109">
        <v>0</v>
      </c>
      <c r="C33" s="64">
        <v>0</v>
      </c>
      <c r="D33" s="109">
        <v>0</v>
      </c>
      <c r="E33" s="109">
        <v>0</v>
      </c>
      <c r="F33" s="144">
        <f t="shared" si="5"/>
        <v>0</v>
      </c>
      <c r="G33" s="128"/>
      <c r="H33" s="129"/>
      <c r="I33" s="91"/>
      <c r="J33" s="109"/>
      <c r="K33" s="130"/>
      <c r="L33" s="130"/>
      <c r="M33" s="130"/>
      <c r="N33" s="130"/>
      <c r="O33" s="130"/>
      <c r="P33" s="130"/>
      <c r="Q33" s="68"/>
      <c r="R33" s="7">
        <f t="shared" si="0"/>
        <v>0</v>
      </c>
      <c r="S33" s="7">
        <f t="shared" si="1"/>
        <v>0</v>
      </c>
    </row>
    <row r="34" spans="1:19" ht="15">
      <c r="A34" s="4" t="s">
        <v>14</v>
      </c>
      <c r="B34" s="109">
        <v>0</v>
      </c>
      <c r="C34" s="63">
        <v>0</v>
      </c>
      <c r="D34" s="109">
        <v>0</v>
      </c>
      <c r="E34" s="109">
        <v>0</v>
      </c>
      <c r="F34" s="144">
        <f t="shared" si="5"/>
        <v>0</v>
      </c>
      <c r="G34" s="128"/>
      <c r="H34" s="129"/>
      <c r="I34" s="91"/>
      <c r="J34" s="109"/>
      <c r="K34" s="130"/>
      <c r="L34" s="130"/>
      <c r="M34" s="130"/>
      <c r="N34" s="130"/>
      <c r="O34" s="130"/>
      <c r="P34" s="130"/>
      <c r="Q34" s="68"/>
      <c r="R34" s="7">
        <f t="shared" si="0"/>
        <v>0</v>
      </c>
      <c r="S34" s="7">
        <f t="shared" si="1"/>
        <v>0</v>
      </c>
    </row>
    <row r="35" spans="1:19" ht="15">
      <c r="A35" s="4" t="s">
        <v>15</v>
      </c>
      <c r="B35" s="109">
        <v>13750</v>
      </c>
      <c r="C35" s="63">
        <v>8808.6</v>
      </c>
      <c r="D35" s="109">
        <v>18000</v>
      </c>
      <c r="E35" s="109">
        <v>18000</v>
      </c>
      <c r="F35" s="144">
        <f t="shared" si="5"/>
        <v>4250</v>
      </c>
      <c r="G35" s="128"/>
      <c r="H35" s="129"/>
      <c r="I35" s="91"/>
      <c r="J35" s="109"/>
      <c r="K35" s="130"/>
      <c r="L35" s="130"/>
      <c r="M35" s="130"/>
      <c r="N35" s="130"/>
      <c r="O35" s="130"/>
      <c r="P35" s="130"/>
      <c r="Q35" s="68">
        <v>13750</v>
      </c>
      <c r="R35" s="7">
        <f t="shared" si="0"/>
        <v>13750</v>
      </c>
      <c r="S35" s="7">
        <f t="shared" si="1"/>
        <v>-4250</v>
      </c>
    </row>
    <row r="36" spans="1:19" ht="15">
      <c r="A36" s="4" t="s">
        <v>124</v>
      </c>
      <c r="B36" s="109">
        <v>0</v>
      </c>
      <c r="C36" s="63">
        <v>0</v>
      </c>
      <c r="D36" s="109">
        <v>0</v>
      </c>
      <c r="E36" s="109">
        <v>0</v>
      </c>
      <c r="F36" s="144">
        <f t="shared" si="5"/>
        <v>0</v>
      </c>
      <c r="G36" s="128"/>
      <c r="H36" s="129"/>
      <c r="I36" s="91"/>
      <c r="J36" s="109"/>
      <c r="K36" s="130"/>
      <c r="L36" s="130"/>
      <c r="M36" s="130"/>
      <c r="N36" s="130"/>
      <c r="O36" s="130"/>
      <c r="P36" s="130"/>
      <c r="Q36" s="68"/>
      <c r="R36" s="7">
        <f t="shared" si="0"/>
        <v>0</v>
      </c>
      <c r="S36" s="7">
        <f t="shared" si="1"/>
        <v>0</v>
      </c>
    </row>
    <row r="37" spans="1:19" ht="15">
      <c r="A37" s="4" t="s">
        <v>16</v>
      </c>
      <c r="B37" s="109">
        <v>1000</v>
      </c>
      <c r="C37" s="63">
        <v>945</v>
      </c>
      <c r="D37" s="109">
        <v>1200</v>
      </c>
      <c r="E37" s="109">
        <v>1200</v>
      </c>
      <c r="F37" s="144">
        <f t="shared" si="5"/>
        <v>200</v>
      </c>
      <c r="G37" s="128"/>
      <c r="H37" s="129"/>
      <c r="I37" s="91"/>
      <c r="J37" s="109"/>
      <c r="K37" s="130"/>
      <c r="L37" s="130"/>
      <c r="M37" s="130"/>
      <c r="N37" s="130"/>
      <c r="O37" s="130"/>
      <c r="P37" s="130"/>
      <c r="Q37" s="68">
        <v>1000</v>
      </c>
      <c r="R37" s="7">
        <f t="shared" si="0"/>
        <v>1000</v>
      </c>
      <c r="S37" s="7">
        <f t="shared" si="1"/>
        <v>-200</v>
      </c>
    </row>
    <row r="38" spans="1:19" ht="15">
      <c r="A38" s="4" t="s">
        <v>17</v>
      </c>
      <c r="B38" s="109">
        <v>58000</v>
      </c>
      <c r="C38" s="63">
        <v>30361.75</v>
      </c>
      <c r="D38" s="109">
        <v>66600</v>
      </c>
      <c r="E38" s="109">
        <v>66600</v>
      </c>
      <c r="F38" s="144">
        <f t="shared" si="5"/>
        <v>8600</v>
      </c>
      <c r="G38" s="128"/>
      <c r="H38" s="129">
        <v>66600</v>
      </c>
      <c r="I38" s="91"/>
      <c r="J38" s="130"/>
      <c r="K38" s="130"/>
      <c r="L38" s="130"/>
      <c r="M38" s="130"/>
      <c r="N38" s="130"/>
      <c r="O38" s="130"/>
      <c r="P38" s="130"/>
      <c r="Q38" s="68"/>
      <c r="R38" s="7">
        <f t="shared" si="0"/>
        <v>66600</v>
      </c>
      <c r="S38" s="7">
        <f t="shared" si="1"/>
        <v>0</v>
      </c>
    </row>
    <row r="39" spans="1:19" ht="15">
      <c r="A39" s="4" t="s">
        <v>18</v>
      </c>
      <c r="B39" s="109">
        <v>9600</v>
      </c>
      <c r="C39" s="63">
        <v>4590</v>
      </c>
      <c r="D39" s="109">
        <v>12000</v>
      </c>
      <c r="E39" s="109">
        <v>12000</v>
      </c>
      <c r="F39" s="144">
        <f t="shared" si="5"/>
        <v>2400</v>
      </c>
      <c r="G39" s="128"/>
      <c r="H39" s="129">
        <v>12000</v>
      </c>
      <c r="I39" s="91"/>
      <c r="J39" s="130"/>
      <c r="K39" s="130"/>
      <c r="L39" s="130"/>
      <c r="M39" s="130"/>
      <c r="N39" s="130"/>
      <c r="O39" s="130"/>
      <c r="P39" s="130"/>
      <c r="Q39" s="68"/>
      <c r="R39" s="7">
        <f t="shared" si="0"/>
        <v>12000</v>
      </c>
      <c r="S39" s="7">
        <f t="shared" si="1"/>
        <v>0</v>
      </c>
    </row>
    <row r="40" spans="1:19" ht="15">
      <c r="A40" s="4" t="s">
        <v>122</v>
      </c>
      <c r="B40" s="109"/>
      <c r="C40" s="63">
        <v>0</v>
      </c>
      <c r="D40" s="109">
        <v>0</v>
      </c>
      <c r="E40" s="109">
        <v>0</v>
      </c>
      <c r="F40" s="144">
        <f t="shared" si="5"/>
        <v>0</v>
      </c>
      <c r="G40" s="128"/>
      <c r="H40" s="129"/>
      <c r="I40" s="91"/>
      <c r="J40" s="130"/>
      <c r="K40" s="130"/>
      <c r="L40" s="130"/>
      <c r="M40" s="130"/>
      <c r="N40" s="130"/>
      <c r="O40" s="130"/>
      <c r="P40" s="130"/>
      <c r="Q40" s="68"/>
      <c r="R40" s="7">
        <f t="shared" si="0"/>
        <v>0</v>
      </c>
      <c r="S40" s="7">
        <f t="shared" si="1"/>
        <v>0</v>
      </c>
    </row>
    <row r="41" spans="1:19" ht="15">
      <c r="A41" s="4" t="s">
        <v>125</v>
      </c>
      <c r="B41" s="109">
        <v>15900</v>
      </c>
      <c r="C41" s="63">
        <v>6840.76</v>
      </c>
      <c r="D41" s="109">
        <v>15000</v>
      </c>
      <c r="E41" s="109">
        <v>15000</v>
      </c>
      <c r="F41" s="144">
        <f t="shared" si="5"/>
        <v>-900</v>
      </c>
      <c r="G41" s="128"/>
      <c r="H41" s="129"/>
      <c r="I41" s="91"/>
      <c r="J41" s="130"/>
      <c r="K41" s="130"/>
      <c r="L41" s="130"/>
      <c r="M41" s="130"/>
      <c r="N41" s="130"/>
      <c r="O41" s="130"/>
      <c r="P41" s="130"/>
      <c r="Q41" s="68">
        <v>15900</v>
      </c>
      <c r="R41" s="7">
        <f t="shared" si="0"/>
        <v>15900</v>
      </c>
      <c r="S41" s="7">
        <f t="shared" si="1"/>
        <v>900</v>
      </c>
    </row>
    <row r="42" spans="1:19" ht="15">
      <c r="A42" s="4" t="s">
        <v>108</v>
      </c>
      <c r="B42" s="109">
        <v>1385</v>
      </c>
      <c r="C42" s="64">
        <v>290.35</v>
      </c>
      <c r="D42" s="109">
        <v>500</v>
      </c>
      <c r="E42" s="109">
        <v>500</v>
      </c>
      <c r="F42" s="144">
        <f t="shared" si="5"/>
        <v>-885</v>
      </c>
      <c r="G42" s="128"/>
      <c r="H42" s="129"/>
      <c r="I42" s="91"/>
      <c r="J42" s="130"/>
      <c r="K42" s="130"/>
      <c r="L42" s="130"/>
      <c r="M42" s="130"/>
      <c r="N42" s="130"/>
      <c r="O42" s="130"/>
      <c r="P42" s="130"/>
      <c r="Q42" s="68">
        <v>1385</v>
      </c>
      <c r="R42" s="7">
        <f t="shared" si="0"/>
        <v>1385</v>
      </c>
      <c r="S42" s="7">
        <f t="shared" si="1"/>
        <v>885</v>
      </c>
    </row>
    <row r="43" spans="1:19" ht="15">
      <c r="A43" s="4" t="s">
        <v>19</v>
      </c>
      <c r="B43" s="109">
        <v>1000</v>
      </c>
      <c r="C43" s="64">
        <v>970.5</v>
      </c>
      <c r="D43" s="109">
        <v>1500</v>
      </c>
      <c r="E43" s="109">
        <v>1500</v>
      </c>
      <c r="F43" s="144">
        <f t="shared" si="5"/>
        <v>500</v>
      </c>
      <c r="G43" s="128"/>
      <c r="H43" s="129"/>
      <c r="I43" s="91"/>
      <c r="J43" s="130"/>
      <c r="K43" s="130"/>
      <c r="L43" s="130"/>
      <c r="M43" s="130"/>
      <c r="N43" s="130"/>
      <c r="O43" s="130"/>
      <c r="P43" s="68"/>
      <c r="Q43" s="68">
        <v>1000</v>
      </c>
      <c r="R43" s="7">
        <f t="shared" si="0"/>
        <v>1000</v>
      </c>
      <c r="S43" s="7">
        <f t="shared" si="1"/>
        <v>-500</v>
      </c>
    </row>
    <row r="44" spans="1:19" ht="15.75" thickBot="1">
      <c r="A44" s="4" t="s">
        <v>126</v>
      </c>
      <c r="B44" s="112">
        <v>2000</v>
      </c>
      <c r="C44" s="147">
        <v>210.96</v>
      </c>
      <c r="D44" s="112">
        <v>2000</v>
      </c>
      <c r="E44" s="112">
        <v>2000</v>
      </c>
      <c r="F44" s="144">
        <f t="shared" si="5"/>
        <v>0</v>
      </c>
      <c r="G44" s="141"/>
      <c r="H44" s="142"/>
      <c r="I44" s="111"/>
      <c r="J44" s="148"/>
      <c r="K44" s="148"/>
      <c r="L44" s="148"/>
      <c r="M44" s="148"/>
      <c r="N44" s="148"/>
      <c r="O44" s="148"/>
      <c r="P44" s="148"/>
      <c r="Q44" s="68">
        <v>2000</v>
      </c>
      <c r="R44" s="16">
        <f t="shared" si="0"/>
        <v>2000</v>
      </c>
      <c r="S44" s="7">
        <f t="shared" si="1"/>
        <v>0</v>
      </c>
    </row>
    <row r="45" spans="1:19" ht="15.75" thickBot="1">
      <c r="A45" s="48" t="s">
        <v>6</v>
      </c>
      <c r="B45" s="110">
        <f>SUM(B26:B44)</f>
        <v>178635</v>
      </c>
      <c r="C45" s="43">
        <f aca="true" t="shared" si="6" ref="C45:Q45">SUM(C26:C44)</f>
        <v>90949.65000000001</v>
      </c>
      <c r="D45" s="110">
        <f t="shared" si="6"/>
        <v>206000</v>
      </c>
      <c r="E45" s="110">
        <f t="shared" si="6"/>
        <v>206000</v>
      </c>
      <c r="F45" s="132">
        <f t="shared" si="6"/>
        <v>27365</v>
      </c>
      <c r="G45" s="133">
        <f t="shared" si="6"/>
        <v>66600</v>
      </c>
      <c r="H45" s="134">
        <f t="shared" si="6"/>
        <v>78600</v>
      </c>
      <c r="I45" s="135">
        <f t="shared" si="6"/>
        <v>0</v>
      </c>
      <c r="J45" s="136">
        <f t="shared" si="6"/>
        <v>0</v>
      </c>
      <c r="K45" s="136">
        <f t="shared" si="6"/>
        <v>0</v>
      </c>
      <c r="L45" s="136">
        <f t="shared" si="6"/>
        <v>0</v>
      </c>
      <c r="M45" s="136">
        <f t="shared" si="6"/>
        <v>0</v>
      </c>
      <c r="N45" s="136">
        <f t="shared" si="6"/>
        <v>0</v>
      </c>
      <c r="O45" s="136">
        <f t="shared" si="6"/>
        <v>0</v>
      </c>
      <c r="P45" s="136">
        <f t="shared" si="6"/>
        <v>0</v>
      </c>
      <c r="Q45" s="110">
        <f t="shared" si="6"/>
        <v>54635</v>
      </c>
      <c r="R45" s="12">
        <f t="shared" si="0"/>
        <v>199835</v>
      </c>
      <c r="S45" s="7">
        <f t="shared" si="1"/>
        <v>-6165</v>
      </c>
    </row>
    <row r="46" spans="1:19" ht="15">
      <c r="A46" s="46" t="s">
        <v>20</v>
      </c>
      <c r="B46" s="91"/>
      <c r="C46" s="137"/>
      <c r="D46" s="91"/>
      <c r="E46" s="91"/>
      <c r="F46" s="125"/>
      <c r="G46" s="128"/>
      <c r="H46" s="129"/>
      <c r="I46" s="91"/>
      <c r="J46" s="91"/>
      <c r="K46" s="91"/>
      <c r="L46" s="91"/>
      <c r="M46" s="91"/>
      <c r="N46" s="91"/>
      <c r="O46" s="91"/>
      <c r="P46" s="91"/>
      <c r="Q46" s="91"/>
      <c r="R46" s="13">
        <f t="shared" si="0"/>
        <v>0</v>
      </c>
      <c r="S46" s="7">
        <f t="shared" si="1"/>
        <v>0</v>
      </c>
    </row>
    <row r="47" spans="1:19" ht="15">
      <c r="A47" s="5" t="s">
        <v>21</v>
      </c>
      <c r="B47" s="109"/>
      <c r="C47" s="109"/>
      <c r="D47" s="109"/>
      <c r="E47" s="109"/>
      <c r="F47" s="144">
        <f>+E47-D47</f>
        <v>0</v>
      </c>
      <c r="G47" s="128"/>
      <c r="H47" s="129"/>
      <c r="I47" s="91"/>
      <c r="J47" s="130"/>
      <c r="K47" s="130"/>
      <c r="L47" s="130"/>
      <c r="M47" s="130"/>
      <c r="N47" s="130"/>
      <c r="O47" s="130"/>
      <c r="P47" s="130"/>
      <c r="Q47" s="68"/>
      <c r="R47" s="7">
        <f t="shared" si="0"/>
        <v>0</v>
      </c>
      <c r="S47" s="7">
        <f t="shared" si="1"/>
        <v>0</v>
      </c>
    </row>
    <row r="48" spans="1:19" ht="15">
      <c r="A48" s="5" t="s">
        <v>153</v>
      </c>
      <c r="B48" s="109"/>
      <c r="C48" s="109"/>
      <c r="D48" s="109"/>
      <c r="E48" s="109"/>
      <c r="F48" s="144">
        <f>+E48-D48</f>
        <v>0</v>
      </c>
      <c r="G48" s="128"/>
      <c r="H48" s="129"/>
      <c r="I48" s="91"/>
      <c r="J48" s="130"/>
      <c r="K48" s="130"/>
      <c r="L48" s="130"/>
      <c r="M48" s="130"/>
      <c r="N48" s="130"/>
      <c r="O48" s="130"/>
      <c r="P48" s="130"/>
      <c r="Q48" s="68"/>
      <c r="R48" s="7">
        <f t="shared" si="0"/>
        <v>0</v>
      </c>
      <c r="S48" s="7">
        <f t="shared" si="1"/>
        <v>0</v>
      </c>
    </row>
    <row r="49" spans="1:19" ht="15">
      <c r="A49" s="5" t="s">
        <v>22</v>
      </c>
      <c r="B49" s="109"/>
      <c r="C49" s="109"/>
      <c r="D49" s="109"/>
      <c r="E49" s="109"/>
      <c r="F49" s="144">
        <f>+E49-D49</f>
        <v>0</v>
      </c>
      <c r="G49" s="128"/>
      <c r="H49" s="129"/>
      <c r="I49" s="91"/>
      <c r="J49" s="130"/>
      <c r="K49" s="130"/>
      <c r="L49" s="130"/>
      <c r="M49" s="130"/>
      <c r="N49" s="130"/>
      <c r="O49" s="130"/>
      <c r="P49" s="130"/>
      <c r="Q49" s="68"/>
      <c r="R49" s="7">
        <f t="shared" si="0"/>
        <v>0</v>
      </c>
      <c r="S49" s="7">
        <f t="shared" si="1"/>
        <v>0</v>
      </c>
    </row>
    <row r="50" spans="1:19" ht="15.75" thickBot="1">
      <c r="A50" s="5" t="s">
        <v>169</v>
      </c>
      <c r="B50" s="109">
        <v>15000</v>
      </c>
      <c r="C50" s="149">
        <v>639</v>
      </c>
      <c r="D50" s="109"/>
      <c r="E50" s="109"/>
      <c r="F50" s="144"/>
      <c r="G50" s="128"/>
      <c r="H50" s="129"/>
      <c r="I50" s="91"/>
      <c r="J50" s="130"/>
      <c r="K50" s="130"/>
      <c r="L50" s="130"/>
      <c r="M50" s="130"/>
      <c r="N50" s="130"/>
      <c r="O50" s="130"/>
      <c r="P50" s="130"/>
      <c r="Q50" s="68">
        <v>15000</v>
      </c>
      <c r="R50" s="7">
        <f t="shared" si="0"/>
        <v>15000</v>
      </c>
      <c r="S50" s="7">
        <f t="shared" si="1"/>
        <v>15000</v>
      </c>
    </row>
    <row r="51" spans="1:19" ht="15.75" thickBot="1">
      <c r="A51" s="48" t="s">
        <v>6</v>
      </c>
      <c r="B51" s="110">
        <f>SUM(B47:B50)</f>
        <v>15000</v>
      </c>
      <c r="C51" s="43">
        <f aca="true" t="shared" si="7" ref="C51:Q51">SUM(C47:C50)</f>
        <v>639</v>
      </c>
      <c r="D51" s="110">
        <v>15000</v>
      </c>
      <c r="E51" s="110">
        <v>15000</v>
      </c>
      <c r="F51" s="132">
        <f>SUM(F47:F50)</f>
        <v>0</v>
      </c>
      <c r="G51" s="133">
        <f t="shared" si="7"/>
        <v>0</v>
      </c>
      <c r="H51" s="134">
        <f t="shared" si="7"/>
        <v>0</v>
      </c>
      <c r="I51" s="135">
        <f t="shared" si="7"/>
        <v>0</v>
      </c>
      <c r="J51" s="136">
        <f>SUM(J47:J50)</f>
        <v>0</v>
      </c>
      <c r="K51" s="136">
        <f t="shared" si="7"/>
        <v>0</v>
      </c>
      <c r="L51" s="136">
        <f t="shared" si="7"/>
        <v>0</v>
      </c>
      <c r="M51" s="136">
        <f t="shared" si="7"/>
        <v>0</v>
      </c>
      <c r="N51" s="136">
        <f t="shared" si="7"/>
        <v>0</v>
      </c>
      <c r="O51" s="136">
        <f t="shared" si="7"/>
        <v>0</v>
      </c>
      <c r="P51" s="136">
        <f t="shared" si="7"/>
        <v>0</v>
      </c>
      <c r="Q51" s="110">
        <f t="shared" si="7"/>
        <v>15000</v>
      </c>
      <c r="R51" s="12">
        <f t="shared" si="0"/>
        <v>15000</v>
      </c>
      <c r="S51" s="7">
        <f t="shared" si="1"/>
        <v>0</v>
      </c>
    </row>
    <row r="52" spans="1:19" ht="15">
      <c r="A52" s="46" t="s">
        <v>23</v>
      </c>
      <c r="B52" s="91"/>
      <c r="C52" s="146"/>
      <c r="D52" s="91"/>
      <c r="E52" s="91"/>
      <c r="F52" s="125"/>
      <c r="G52" s="128"/>
      <c r="H52" s="129"/>
      <c r="I52" s="91"/>
      <c r="J52" s="91"/>
      <c r="K52" s="91"/>
      <c r="L52" s="91"/>
      <c r="M52" s="91"/>
      <c r="N52" s="91"/>
      <c r="O52" s="91"/>
      <c r="P52" s="91"/>
      <c r="Q52" s="91"/>
      <c r="R52" s="13">
        <f t="shared" si="0"/>
        <v>0</v>
      </c>
      <c r="S52" s="7">
        <f t="shared" si="1"/>
        <v>0</v>
      </c>
    </row>
    <row r="53" spans="1:19" ht="15">
      <c r="A53" s="4" t="s">
        <v>106</v>
      </c>
      <c r="B53" s="109">
        <v>0</v>
      </c>
      <c r="C53" s="64">
        <v>0</v>
      </c>
      <c r="D53" s="109">
        <v>0</v>
      </c>
      <c r="E53" s="109">
        <v>0</v>
      </c>
      <c r="F53" s="144"/>
      <c r="G53" s="128"/>
      <c r="H53" s="129"/>
      <c r="I53" s="91"/>
      <c r="J53" s="130"/>
      <c r="K53" s="130"/>
      <c r="L53" s="130"/>
      <c r="M53" s="130"/>
      <c r="N53" s="130"/>
      <c r="O53" s="130"/>
      <c r="P53" s="130"/>
      <c r="Q53" s="68">
        <v>0</v>
      </c>
      <c r="R53" s="7"/>
      <c r="S53" s="7">
        <f t="shared" si="1"/>
        <v>0</v>
      </c>
    </row>
    <row r="54" spans="1:19" ht="15">
      <c r="A54" s="4" t="s">
        <v>107</v>
      </c>
      <c r="B54" s="109">
        <v>0</v>
      </c>
      <c r="C54" s="64">
        <v>0</v>
      </c>
      <c r="D54" s="109">
        <v>6650</v>
      </c>
      <c r="E54" s="109">
        <v>6650</v>
      </c>
      <c r="F54" s="144">
        <f>+E54-D54</f>
        <v>0</v>
      </c>
      <c r="G54" s="128"/>
      <c r="H54" s="129"/>
      <c r="I54" s="91"/>
      <c r="J54" s="130"/>
      <c r="K54" s="130"/>
      <c r="L54" s="130"/>
      <c r="M54" s="130"/>
      <c r="N54" s="130"/>
      <c r="O54" s="130"/>
      <c r="P54" s="130"/>
      <c r="Q54" s="68">
        <f>+E54-G54-H54</f>
        <v>6650</v>
      </c>
      <c r="R54" s="7">
        <f>SUM(G54:Q54)</f>
        <v>6650</v>
      </c>
      <c r="S54" s="7">
        <f t="shared" si="1"/>
        <v>0</v>
      </c>
    </row>
    <row r="55" spans="1:19" ht="15">
      <c r="A55" s="4" t="s">
        <v>24</v>
      </c>
      <c r="B55" s="109">
        <v>0</v>
      </c>
      <c r="C55" s="64">
        <v>1010.4</v>
      </c>
      <c r="D55" s="109">
        <v>1173</v>
      </c>
      <c r="E55" s="109">
        <v>1173</v>
      </c>
      <c r="F55" s="144">
        <f>+E55-D55</f>
        <v>0</v>
      </c>
      <c r="G55" s="128"/>
      <c r="H55" s="129"/>
      <c r="I55" s="91"/>
      <c r="J55" s="130"/>
      <c r="K55" s="130"/>
      <c r="L55" s="130"/>
      <c r="M55" s="130"/>
      <c r="N55" s="130"/>
      <c r="O55" s="130"/>
      <c r="P55" s="130"/>
      <c r="Q55" s="68">
        <f>+E55-G55-H55</f>
        <v>1173</v>
      </c>
      <c r="R55" s="7">
        <f t="shared" si="0"/>
        <v>1173</v>
      </c>
      <c r="S55" s="7">
        <f t="shared" si="1"/>
        <v>0</v>
      </c>
    </row>
    <row r="56" spans="1:19" ht="15">
      <c r="A56" s="4" t="s">
        <v>25</v>
      </c>
      <c r="B56" s="109">
        <v>0</v>
      </c>
      <c r="C56" s="64">
        <v>150</v>
      </c>
      <c r="D56" s="109">
        <v>100</v>
      </c>
      <c r="E56" s="109">
        <v>100</v>
      </c>
      <c r="F56" s="144">
        <f>+E56-D56</f>
        <v>0</v>
      </c>
      <c r="G56" s="128"/>
      <c r="H56" s="129"/>
      <c r="I56" s="91"/>
      <c r="J56" s="130"/>
      <c r="K56" s="130"/>
      <c r="L56" s="130"/>
      <c r="M56" s="130"/>
      <c r="N56" s="130"/>
      <c r="O56" s="130"/>
      <c r="P56" s="130"/>
      <c r="Q56" s="68"/>
      <c r="R56" s="7">
        <f t="shared" si="0"/>
        <v>0</v>
      </c>
      <c r="S56" s="7">
        <f t="shared" si="1"/>
        <v>-100</v>
      </c>
    </row>
    <row r="57" spans="1:19" ht="15.75" thickBot="1">
      <c r="A57" s="4" t="s">
        <v>26</v>
      </c>
      <c r="B57" s="112">
        <v>10630</v>
      </c>
      <c r="C57" s="65">
        <v>5002</v>
      </c>
      <c r="D57" s="112">
        <v>10000</v>
      </c>
      <c r="E57" s="112">
        <v>10000</v>
      </c>
      <c r="F57" s="144">
        <f>+E57-B57</f>
        <v>-630</v>
      </c>
      <c r="G57" s="141"/>
      <c r="H57" s="142"/>
      <c r="I57" s="111"/>
      <c r="J57" s="148"/>
      <c r="K57" s="148"/>
      <c r="L57" s="148"/>
      <c r="M57" s="148"/>
      <c r="N57" s="148"/>
      <c r="O57" s="148"/>
      <c r="P57" s="148"/>
      <c r="Q57" s="68">
        <v>10630</v>
      </c>
      <c r="R57" s="16">
        <f t="shared" si="0"/>
        <v>10630</v>
      </c>
      <c r="S57" s="7">
        <f t="shared" si="1"/>
        <v>630</v>
      </c>
    </row>
    <row r="58" spans="1:19" ht="15.75" thickBot="1">
      <c r="A58" s="48" t="s">
        <v>6</v>
      </c>
      <c r="B58" s="110">
        <f>SUM(B52:B57)</f>
        <v>10630</v>
      </c>
      <c r="C58" s="43">
        <f aca="true" t="shared" si="8" ref="C58:Q58">SUM(C52:C57)</f>
        <v>6162.4</v>
      </c>
      <c r="D58" s="110">
        <f>SUM(D52:D57)</f>
        <v>17923</v>
      </c>
      <c r="E58" s="110">
        <f>SUM(E52:E57)</f>
        <v>17923</v>
      </c>
      <c r="F58" s="132">
        <f>SUM(F52:F57)</f>
        <v>-630</v>
      </c>
      <c r="G58" s="133">
        <f t="shared" si="8"/>
        <v>0</v>
      </c>
      <c r="H58" s="134">
        <f t="shared" si="8"/>
        <v>0</v>
      </c>
      <c r="I58" s="135">
        <f t="shared" si="8"/>
        <v>0</v>
      </c>
      <c r="J58" s="136">
        <f>SUM(J52:J57)</f>
        <v>0</v>
      </c>
      <c r="K58" s="136">
        <f t="shared" si="8"/>
        <v>0</v>
      </c>
      <c r="L58" s="136">
        <f t="shared" si="8"/>
        <v>0</v>
      </c>
      <c r="M58" s="136">
        <f t="shared" si="8"/>
        <v>0</v>
      </c>
      <c r="N58" s="136">
        <f t="shared" si="8"/>
        <v>0</v>
      </c>
      <c r="O58" s="136">
        <f t="shared" si="8"/>
        <v>0</v>
      </c>
      <c r="P58" s="136">
        <f t="shared" si="8"/>
        <v>0</v>
      </c>
      <c r="Q58" s="110">
        <f t="shared" si="8"/>
        <v>18453</v>
      </c>
      <c r="R58" s="12">
        <f t="shared" si="0"/>
        <v>18453</v>
      </c>
      <c r="S58" s="7">
        <f t="shared" si="1"/>
        <v>530</v>
      </c>
    </row>
    <row r="59" spans="1:19" ht="16.5" thickBot="1">
      <c r="A59" s="49" t="s">
        <v>27</v>
      </c>
      <c r="B59" s="113">
        <f>B12+B24+B45+B51+B58</f>
        <v>749365</v>
      </c>
      <c r="C59" s="98">
        <f aca="true" t="shared" si="9" ref="C59:Q59">C12+C24+C45+C51+C58</f>
        <v>385784.11000000004</v>
      </c>
      <c r="D59" s="113">
        <f t="shared" si="9"/>
        <v>823523</v>
      </c>
      <c r="E59" s="113">
        <f t="shared" si="9"/>
        <v>785872</v>
      </c>
      <c r="F59" s="151">
        <f t="shared" si="9"/>
        <v>28584</v>
      </c>
      <c r="G59" s="152">
        <f t="shared" si="9"/>
        <v>190480</v>
      </c>
      <c r="H59" s="153">
        <f t="shared" si="9"/>
        <v>180081</v>
      </c>
      <c r="I59" s="154">
        <f t="shared" si="9"/>
        <v>0</v>
      </c>
      <c r="J59" s="155">
        <f t="shared" si="9"/>
        <v>0</v>
      </c>
      <c r="K59" s="155">
        <f t="shared" si="9"/>
        <v>0</v>
      </c>
      <c r="L59" s="155">
        <f t="shared" si="9"/>
        <v>0</v>
      </c>
      <c r="M59" s="155">
        <f t="shared" si="9"/>
        <v>0</v>
      </c>
      <c r="N59" s="155">
        <f t="shared" si="9"/>
        <v>0</v>
      </c>
      <c r="O59" s="155">
        <f t="shared" si="9"/>
        <v>0</v>
      </c>
      <c r="P59" s="155">
        <f t="shared" si="9"/>
        <v>0</v>
      </c>
      <c r="Q59" s="155">
        <f t="shared" si="9"/>
        <v>420150</v>
      </c>
      <c r="R59" s="17">
        <f t="shared" si="0"/>
        <v>790711</v>
      </c>
      <c r="S59" s="7">
        <f t="shared" si="1"/>
        <v>4839</v>
      </c>
    </row>
    <row r="60" spans="1:19" ht="17.25" thickBot="1" thickTop="1">
      <c r="A60" s="70"/>
      <c r="B60" s="99"/>
      <c r="C60" s="99"/>
      <c r="D60" s="99"/>
      <c r="E60" s="99"/>
      <c r="F60" s="99"/>
      <c r="G60" s="157"/>
      <c r="H60" s="129"/>
      <c r="I60" s="91"/>
      <c r="J60" s="68"/>
      <c r="K60" s="68"/>
      <c r="L60" s="68"/>
      <c r="M60" s="68"/>
      <c r="N60" s="68"/>
      <c r="O60" s="68"/>
      <c r="P60" s="68"/>
      <c r="Q60" s="68"/>
      <c r="R60" s="7">
        <f t="shared" si="0"/>
        <v>0</v>
      </c>
      <c r="S60" s="7">
        <f t="shared" si="1"/>
        <v>0</v>
      </c>
    </row>
    <row r="61" spans="1:19" ht="18">
      <c r="A61" s="75"/>
      <c r="B61" s="104" t="s">
        <v>61</v>
      </c>
      <c r="C61" s="158" t="s">
        <v>105</v>
      </c>
      <c r="D61" s="104" t="s">
        <v>201</v>
      </c>
      <c r="E61" s="104" t="s">
        <v>61</v>
      </c>
      <c r="F61" s="118" t="s">
        <v>113</v>
      </c>
      <c r="G61" s="83" t="s">
        <v>63</v>
      </c>
      <c r="H61" s="76" t="s">
        <v>64</v>
      </c>
      <c r="I61" s="38" t="s">
        <v>66</v>
      </c>
      <c r="J61" s="6" t="s">
        <v>65</v>
      </c>
      <c r="K61" s="6" t="s">
        <v>67</v>
      </c>
      <c r="L61" s="6" t="s">
        <v>68</v>
      </c>
      <c r="M61" s="6" t="s">
        <v>69</v>
      </c>
      <c r="N61" s="6" t="s">
        <v>70</v>
      </c>
      <c r="O61" s="6" t="s">
        <v>71</v>
      </c>
      <c r="P61" s="6" t="s">
        <v>72</v>
      </c>
      <c r="Q61" s="6" t="s">
        <v>114</v>
      </c>
      <c r="R61" s="7"/>
      <c r="S61" s="7"/>
    </row>
    <row r="62" spans="1:19" ht="18.75" thickBot="1">
      <c r="A62" s="50"/>
      <c r="B62" s="106" t="str">
        <f>+B4</f>
        <v>2019-2020</v>
      </c>
      <c r="C62" s="106" t="str">
        <f>+C4</f>
        <v>Jul-Dec</v>
      </c>
      <c r="D62" s="106" t="str">
        <f>+D4</f>
        <v>2020-2021</v>
      </c>
      <c r="E62" s="106" t="str">
        <f>+E4</f>
        <v>2020-2021</v>
      </c>
      <c r="F62" s="159" t="s">
        <v>112</v>
      </c>
      <c r="G62" s="97" t="s">
        <v>73</v>
      </c>
      <c r="H62" s="77" t="s">
        <v>74</v>
      </c>
      <c r="I62" s="39" t="s">
        <v>74</v>
      </c>
      <c r="J62" s="8" t="s">
        <v>74</v>
      </c>
      <c r="K62" s="8" t="s">
        <v>74</v>
      </c>
      <c r="L62" s="8" t="s">
        <v>75</v>
      </c>
      <c r="M62" s="8" t="s">
        <v>75</v>
      </c>
      <c r="N62" s="8" t="s">
        <v>75</v>
      </c>
      <c r="O62" s="8" t="s">
        <v>76</v>
      </c>
      <c r="P62" s="8" t="s">
        <v>74</v>
      </c>
      <c r="Q62" s="8" t="s">
        <v>75</v>
      </c>
      <c r="R62" s="9" t="s">
        <v>62</v>
      </c>
      <c r="S62" s="7"/>
    </row>
    <row r="63" spans="1:19" ht="18.75" thickBot="1">
      <c r="A63" s="71" t="s">
        <v>28</v>
      </c>
      <c r="B63" s="104"/>
      <c r="C63" s="121"/>
      <c r="D63" s="104"/>
      <c r="E63" s="104"/>
      <c r="F63" s="123"/>
      <c r="G63" s="85"/>
      <c r="H63" s="78"/>
      <c r="I63" s="53"/>
      <c r="J63" s="54"/>
      <c r="K63" s="54"/>
      <c r="L63" s="54"/>
      <c r="M63" s="54"/>
      <c r="N63" s="54"/>
      <c r="O63" s="54"/>
      <c r="P63" s="54"/>
      <c r="Q63" s="54"/>
      <c r="R63" s="55"/>
      <c r="S63" s="7"/>
    </row>
    <row r="64" spans="1:19" ht="15">
      <c r="A64" s="46" t="s">
        <v>29</v>
      </c>
      <c r="B64" s="91"/>
      <c r="C64" s="91"/>
      <c r="D64" s="91"/>
      <c r="E64" s="91"/>
      <c r="F64" s="125"/>
      <c r="G64" s="128"/>
      <c r="H64" s="129"/>
      <c r="I64" s="91"/>
      <c r="J64" s="91"/>
      <c r="K64" s="91"/>
      <c r="L64" s="91"/>
      <c r="M64" s="91"/>
      <c r="N64" s="91"/>
      <c r="O64" s="91"/>
      <c r="P64" s="91"/>
      <c r="Q64" s="91"/>
      <c r="R64" s="13">
        <f t="shared" si="0"/>
        <v>0</v>
      </c>
      <c r="S64" s="7">
        <f aca="true" t="shared" si="10" ref="S64:S129">+R64-E64</f>
        <v>0</v>
      </c>
    </row>
    <row r="65" spans="1:19" ht="15">
      <c r="A65" s="4" t="s">
        <v>150</v>
      </c>
      <c r="B65" s="109">
        <v>1000</v>
      </c>
      <c r="C65" s="64">
        <v>130.56</v>
      </c>
      <c r="D65" s="109">
        <v>1000</v>
      </c>
      <c r="E65" s="109">
        <v>1000</v>
      </c>
      <c r="F65" s="144">
        <f aca="true" t="shared" si="11" ref="F65:F128">+E65-B65</f>
        <v>0</v>
      </c>
      <c r="G65" s="128">
        <f>+E65*0.0814</f>
        <v>81.4</v>
      </c>
      <c r="H65" s="129">
        <f>+E65*0.1212</f>
        <v>121.2</v>
      </c>
      <c r="I65" s="91"/>
      <c r="J65" s="130"/>
      <c r="K65" s="130"/>
      <c r="L65" s="130"/>
      <c r="M65" s="130"/>
      <c r="N65" s="130"/>
      <c r="O65" s="130"/>
      <c r="P65" s="109"/>
      <c r="Q65" s="68">
        <v>794</v>
      </c>
      <c r="R65" s="13">
        <f t="shared" si="0"/>
        <v>996.6</v>
      </c>
      <c r="S65" s="7">
        <f t="shared" si="10"/>
        <v>-3.3999999999999773</v>
      </c>
    </row>
    <row r="66" spans="1:19" ht="15">
      <c r="A66" s="4" t="s">
        <v>151</v>
      </c>
      <c r="B66" s="109">
        <v>2700</v>
      </c>
      <c r="C66" s="64">
        <v>0</v>
      </c>
      <c r="D66" s="109">
        <v>2800</v>
      </c>
      <c r="E66" s="109">
        <v>2800</v>
      </c>
      <c r="F66" s="144">
        <f t="shared" si="11"/>
        <v>100</v>
      </c>
      <c r="G66" s="128">
        <f aca="true" t="shared" si="12" ref="G66:G80">+E66*0.0814</f>
        <v>227.92</v>
      </c>
      <c r="H66" s="129">
        <f aca="true" t="shared" si="13" ref="H66:H81">+E66*0.1212</f>
        <v>339.36</v>
      </c>
      <c r="I66" s="91"/>
      <c r="J66" s="130"/>
      <c r="K66" s="130"/>
      <c r="L66" s="130"/>
      <c r="M66" s="130"/>
      <c r="N66" s="130"/>
      <c r="O66" s="130"/>
      <c r="P66" s="109"/>
      <c r="Q66" s="68">
        <v>2143</v>
      </c>
      <c r="R66" s="13">
        <f t="shared" si="0"/>
        <v>2710.2799999999997</v>
      </c>
      <c r="S66" s="7">
        <f t="shared" si="10"/>
        <v>-89.72000000000025</v>
      </c>
    </row>
    <row r="67" spans="1:19" ht="15">
      <c r="A67" s="4" t="s">
        <v>152</v>
      </c>
      <c r="B67" s="109">
        <v>1000</v>
      </c>
      <c r="C67" s="64">
        <v>86.41</v>
      </c>
      <c r="D67" s="109">
        <v>500</v>
      </c>
      <c r="E67" s="109">
        <v>500</v>
      </c>
      <c r="F67" s="144">
        <f t="shared" si="11"/>
        <v>-500</v>
      </c>
      <c r="G67" s="128">
        <f t="shared" si="12"/>
        <v>40.7</v>
      </c>
      <c r="H67" s="129">
        <f t="shared" si="13"/>
        <v>60.6</v>
      </c>
      <c r="I67" s="91"/>
      <c r="J67" s="130"/>
      <c r="K67" s="130"/>
      <c r="L67" s="130"/>
      <c r="M67" s="130"/>
      <c r="N67" s="130"/>
      <c r="O67" s="130"/>
      <c r="P67" s="109"/>
      <c r="Q67" s="68">
        <v>794</v>
      </c>
      <c r="R67" s="13">
        <f t="shared" si="0"/>
        <v>895.3</v>
      </c>
      <c r="S67" s="7">
        <f t="shared" si="10"/>
        <v>395.29999999999995</v>
      </c>
    </row>
    <row r="68" spans="1:19" ht="15">
      <c r="A68" s="46" t="s">
        <v>30</v>
      </c>
      <c r="B68" s="91"/>
      <c r="C68" s="90"/>
      <c r="D68" s="91"/>
      <c r="E68" s="91"/>
      <c r="F68" s="160">
        <f t="shared" si="11"/>
        <v>0</v>
      </c>
      <c r="G68" s="128">
        <f t="shared" si="12"/>
        <v>0</v>
      </c>
      <c r="H68" s="129">
        <f t="shared" si="13"/>
        <v>0</v>
      </c>
      <c r="I68" s="91"/>
      <c r="J68" s="91"/>
      <c r="K68" s="91"/>
      <c r="L68" s="91"/>
      <c r="M68" s="91"/>
      <c r="N68" s="91"/>
      <c r="O68" s="91"/>
      <c r="P68" s="91"/>
      <c r="Q68" s="91"/>
      <c r="R68" s="13">
        <f t="shared" si="0"/>
        <v>0</v>
      </c>
      <c r="S68" s="7">
        <f t="shared" si="10"/>
        <v>0</v>
      </c>
    </row>
    <row r="69" spans="1:19" ht="15">
      <c r="A69" s="46" t="s">
        <v>31</v>
      </c>
      <c r="B69" s="91"/>
      <c r="C69" s="91"/>
      <c r="D69" s="91"/>
      <c r="E69" s="91"/>
      <c r="F69" s="125">
        <f t="shared" si="11"/>
        <v>0</v>
      </c>
      <c r="G69" s="128">
        <f t="shared" si="12"/>
        <v>0</v>
      </c>
      <c r="H69" s="129">
        <f t="shared" si="13"/>
        <v>0</v>
      </c>
      <c r="I69" s="91"/>
      <c r="J69" s="91"/>
      <c r="K69" s="91"/>
      <c r="L69" s="91"/>
      <c r="M69" s="91"/>
      <c r="N69" s="91"/>
      <c r="O69" s="91"/>
      <c r="P69" s="91"/>
      <c r="Q69" s="91"/>
      <c r="R69" s="13">
        <f t="shared" si="0"/>
        <v>0</v>
      </c>
      <c r="S69" s="7">
        <f t="shared" si="10"/>
        <v>0</v>
      </c>
    </row>
    <row r="70" spans="1:19" ht="15">
      <c r="A70" s="46" t="s">
        <v>32</v>
      </c>
      <c r="B70" s="91"/>
      <c r="C70" s="91"/>
      <c r="D70" s="91"/>
      <c r="E70" s="91"/>
      <c r="F70" s="125">
        <f t="shared" si="11"/>
        <v>0</v>
      </c>
      <c r="G70" s="128">
        <f t="shared" si="12"/>
        <v>0</v>
      </c>
      <c r="H70" s="129">
        <f t="shared" si="13"/>
        <v>0</v>
      </c>
      <c r="I70" s="91"/>
      <c r="J70" s="91"/>
      <c r="K70" s="91"/>
      <c r="L70" s="91"/>
      <c r="M70" s="91"/>
      <c r="N70" s="91"/>
      <c r="O70" s="91"/>
      <c r="P70" s="91"/>
      <c r="Q70" s="91"/>
      <c r="R70" s="13">
        <f t="shared" si="0"/>
        <v>0</v>
      </c>
      <c r="S70" s="7">
        <f t="shared" si="10"/>
        <v>0</v>
      </c>
    </row>
    <row r="71" spans="1:19" ht="15">
      <c r="A71" s="4" t="s">
        <v>172</v>
      </c>
      <c r="B71" s="109">
        <v>2500</v>
      </c>
      <c r="C71" s="64">
        <v>0</v>
      </c>
      <c r="D71" s="109">
        <v>0</v>
      </c>
      <c r="E71" s="109">
        <v>0</v>
      </c>
      <c r="F71" s="144">
        <f t="shared" si="11"/>
        <v>-2500</v>
      </c>
      <c r="G71" s="128">
        <f t="shared" si="12"/>
        <v>0</v>
      </c>
      <c r="H71" s="129">
        <f t="shared" si="13"/>
        <v>0</v>
      </c>
      <c r="I71" s="91"/>
      <c r="J71" s="109"/>
      <c r="K71" s="130"/>
      <c r="L71" s="109"/>
      <c r="M71" s="109"/>
      <c r="N71" s="109"/>
      <c r="O71" s="109"/>
      <c r="P71" s="68"/>
      <c r="Q71" s="68">
        <v>1985</v>
      </c>
      <c r="R71" s="13">
        <f t="shared" si="0"/>
        <v>1985</v>
      </c>
      <c r="S71" s="7">
        <f t="shared" si="10"/>
        <v>1985</v>
      </c>
    </row>
    <row r="72" spans="1:19" ht="15">
      <c r="A72" s="4" t="s">
        <v>117</v>
      </c>
      <c r="B72" s="109">
        <v>1100</v>
      </c>
      <c r="C72" s="64">
        <v>557.88</v>
      </c>
      <c r="D72" s="109">
        <v>1100</v>
      </c>
      <c r="E72" s="109">
        <v>1100</v>
      </c>
      <c r="F72" s="144">
        <f t="shared" si="11"/>
        <v>0</v>
      </c>
      <c r="G72" s="128">
        <f t="shared" si="12"/>
        <v>89.54</v>
      </c>
      <c r="H72" s="129">
        <f t="shared" si="13"/>
        <v>133.32</v>
      </c>
      <c r="I72" s="91"/>
      <c r="J72" s="109"/>
      <c r="K72" s="130"/>
      <c r="L72" s="109"/>
      <c r="M72" s="109"/>
      <c r="N72" s="109"/>
      <c r="O72" s="109"/>
      <c r="P72" s="68"/>
      <c r="Q72" s="68">
        <v>873</v>
      </c>
      <c r="R72" s="13">
        <f t="shared" si="0"/>
        <v>1095.8600000000001</v>
      </c>
      <c r="S72" s="7">
        <f t="shared" si="10"/>
        <v>-4.139999999999873</v>
      </c>
    </row>
    <row r="73" spans="1:19" ht="15">
      <c r="A73" s="4" t="s">
        <v>121</v>
      </c>
      <c r="B73" s="109">
        <v>1200</v>
      </c>
      <c r="C73" s="63">
        <v>429.89</v>
      </c>
      <c r="D73" s="109">
        <v>1000</v>
      </c>
      <c r="E73" s="109">
        <v>1000</v>
      </c>
      <c r="F73" s="144">
        <f t="shared" si="11"/>
        <v>-200</v>
      </c>
      <c r="G73" s="128">
        <f t="shared" si="12"/>
        <v>81.4</v>
      </c>
      <c r="H73" s="129">
        <f t="shared" si="13"/>
        <v>121.2</v>
      </c>
      <c r="I73" s="91"/>
      <c r="J73" s="109"/>
      <c r="K73" s="130"/>
      <c r="L73" s="109"/>
      <c r="M73" s="109"/>
      <c r="N73" s="109"/>
      <c r="O73" s="109"/>
      <c r="P73" s="68"/>
      <c r="Q73" s="68">
        <v>953</v>
      </c>
      <c r="R73" s="13">
        <f t="shared" si="0"/>
        <v>1155.6</v>
      </c>
      <c r="S73" s="7">
        <f t="shared" si="10"/>
        <v>155.5999999999999</v>
      </c>
    </row>
    <row r="74" spans="1:19" ht="15">
      <c r="A74" s="4" t="s">
        <v>33</v>
      </c>
      <c r="B74" s="109">
        <v>1000</v>
      </c>
      <c r="C74" s="63">
        <v>145</v>
      </c>
      <c r="D74" s="109">
        <v>500</v>
      </c>
      <c r="E74" s="109">
        <v>500</v>
      </c>
      <c r="F74" s="144">
        <f t="shared" si="11"/>
        <v>-500</v>
      </c>
      <c r="G74" s="128">
        <f t="shared" si="12"/>
        <v>40.7</v>
      </c>
      <c r="H74" s="129">
        <f t="shared" si="13"/>
        <v>60.6</v>
      </c>
      <c r="I74" s="91"/>
      <c r="J74" s="130"/>
      <c r="K74" s="130"/>
      <c r="L74" s="130"/>
      <c r="M74" s="130"/>
      <c r="N74" s="130"/>
      <c r="O74" s="130"/>
      <c r="P74" s="130"/>
      <c r="Q74" s="68">
        <v>794</v>
      </c>
      <c r="R74" s="13">
        <f t="shared" si="0"/>
        <v>895.3</v>
      </c>
      <c r="S74" s="7">
        <f t="shared" si="10"/>
        <v>395.29999999999995</v>
      </c>
    </row>
    <row r="75" spans="1:19" ht="15">
      <c r="A75" s="4" t="s">
        <v>34</v>
      </c>
      <c r="B75" s="109">
        <v>2500</v>
      </c>
      <c r="C75" s="68">
        <v>1216.44</v>
      </c>
      <c r="D75" s="109">
        <v>2500</v>
      </c>
      <c r="E75" s="109">
        <v>2500</v>
      </c>
      <c r="F75" s="144">
        <f t="shared" si="11"/>
        <v>0</v>
      </c>
      <c r="G75" s="128">
        <f t="shared" si="12"/>
        <v>203.5</v>
      </c>
      <c r="H75" s="129">
        <f t="shared" si="13"/>
        <v>303</v>
      </c>
      <c r="I75" s="91"/>
      <c r="J75" s="109"/>
      <c r="K75" s="130"/>
      <c r="L75" s="109"/>
      <c r="M75" s="109"/>
      <c r="N75" s="109"/>
      <c r="O75" s="109"/>
      <c r="P75" s="68"/>
      <c r="Q75" s="68">
        <v>1985</v>
      </c>
      <c r="R75" s="13">
        <f t="shared" si="0"/>
        <v>2491.5</v>
      </c>
      <c r="S75" s="7">
        <f t="shared" si="10"/>
        <v>-8.5</v>
      </c>
    </row>
    <row r="76" spans="1:19" ht="15">
      <c r="A76" s="46" t="s">
        <v>35</v>
      </c>
      <c r="B76" s="91"/>
      <c r="C76" s="90"/>
      <c r="D76" s="91"/>
      <c r="E76" s="91"/>
      <c r="F76" s="125">
        <f t="shared" si="11"/>
        <v>0</v>
      </c>
      <c r="G76" s="128">
        <f t="shared" si="12"/>
        <v>0</v>
      </c>
      <c r="H76" s="129">
        <f t="shared" si="13"/>
        <v>0</v>
      </c>
      <c r="I76" s="91"/>
      <c r="J76" s="91"/>
      <c r="K76" s="91"/>
      <c r="L76" s="91"/>
      <c r="M76" s="91"/>
      <c r="N76" s="91"/>
      <c r="O76" s="91"/>
      <c r="P76" s="91"/>
      <c r="Q76" s="91"/>
      <c r="R76" s="13">
        <f t="shared" si="0"/>
        <v>0</v>
      </c>
      <c r="S76" s="7">
        <f t="shared" si="10"/>
        <v>0</v>
      </c>
    </row>
    <row r="77" spans="1:19" ht="15">
      <c r="A77" s="4" t="s">
        <v>36</v>
      </c>
      <c r="B77" s="109">
        <v>38400</v>
      </c>
      <c r="C77" s="63">
        <v>19200</v>
      </c>
      <c r="D77" s="109">
        <v>38400</v>
      </c>
      <c r="E77" s="109">
        <v>38400</v>
      </c>
      <c r="F77" s="144">
        <f t="shared" si="11"/>
        <v>0</v>
      </c>
      <c r="G77" s="128">
        <f t="shared" si="12"/>
        <v>3125.76</v>
      </c>
      <c r="H77" s="129">
        <f t="shared" si="13"/>
        <v>4654.08</v>
      </c>
      <c r="I77" s="91"/>
      <c r="J77" s="68"/>
      <c r="K77" s="130"/>
      <c r="L77" s="109"/>
      <c r="M77" s="109"/>
      <c r="N77" s="109"/>
      <c r="O77" s="109"/>
      <c r="P77" s="130"/>
      <c r="Q77" s="68">
        <v>30482</v>
      </c>
      <c r="R77" s="13">
        <f aca="true" t="shared" si="14" ref="R77:R130">SUM(G77:Q77)</f>
        <v>38261.84</v>
      </c>
      <c r="S77" s="7">
        <f t="shared" si="10"/>
        <v>-138.1600000000035</v>
      </c>
    </row>
    <row r="78" spans="1:19" ht="15">
      <c r="A78" s="4" t="s">
        <v>37</v>
      </c>
      <c r="B78" s="109">
        <v>1600</v>
      </c>
      <c r="C78" s="68">
        <v>600</v>
      </c>
      <c r="D78" s="109">
        <v>1300</v>
      </c>
      <c r="E78" s="109">
        <v>1300</v>
      </c>
      <c r="F78" s="144">
        <f t="shared" si="11"/>
        <v>-300</v>
      </c>
      <c r="G78" s="128">
        <f t="shared" si="12"/>
        <v>105.82</v>
      </c>
      <c r="H78" s="129">
        <f t="shared" si="13"/>
        <v>157.56</v>
      </c>
      <c r="I78" s="91"/>
      <c r="J78" s="68"/>
      <c r="K78" s="130"/>
      <c r="L78" s="109"/>
      <c r="M78" s="109"/>
      <c r="N78" s="109"/>
      <c r="O78" s="109"/>
      <c r="P78" s="130"/>
      <c r="Q78" s="68">
        <v>1270</v>
      </c>
      <c r="R78" s="13">
        <f t="shared" si="14"/>
        <v>1533.38</v>
      </c>
      <c r="S78" s="7">
        <f t="shared" si="10"/>
        <v>233.3800000000001</v>
      </c>
    </row>
    <row r="79" spans="1:19" ht="15">
      <c r="A79" s="46" t="s">
        <v>38</v>
      </c>
      <c r="B79" s="91"/>
      <c r="C79" s="90"/>
      <c r="D79" s="91"/>
      <c r="E79" s="91"/>
      <c r="F79" s="125">
        <f t="shared" si="11"/>
        <v>0</v>
      </c>
      <c r="G79" s="128">
        <f t="shared" si="12"/>
        <v>0</v>
      </c>
      <c r="H79" s="129">
        <f t="shared" si="13"/>
        <v>0</v>
      </c>
      <c r="I79" s="91"/>
      <c r="J79" s="91"/>
      <c r="K79" s="91"/>
      <c r="L79" s="91"/>
      <c r="M79" s="91"/>
      <c r="N79" s="91"/>
      <c r="O79" s="91"/>
      <c r="P79" s="91"/>
      <c r="Q79" s="91"/>
      <c r="R79" s="13">
        <f t="shared" si="14"/>
        <v>0</v>
      </c>
      <c r="S79" s="7">
        <f t="shared" si="10"/>
        <v>0</v>
      </c>
    </row>
    <row r="80" spans="1:19" ht="15">
      <c r="A80" s="4" t="s">
        <v>127</v>
      </c>
      <c r="B80" s="109">
        <v>11000</v>
      </c>
      <c r="C80" s="68">
        <v>7828.6</v>
      </c>
      <c r="D80" s="109">
        <v>14400</v>
      </c>
      <c r="E80" s="109">
        <v>14400</v>
      </c>
      <c r="F80" s="144">
        <f t="shared" si="11"/>
        <v>3400</v>
      </c>
      <c r="G80" s="128">
        <f t="shared" si="12"/>
        <v>1172.16</v>
      </c>
      <c r="H80" s="129">
        <f t="shared" si="13"/>
        <v>1745.28</v>
      </c>
      <c r="I80" s="91"/>
      <c r="J80" s="109"/>
      <c r="K80" s="130"/>
      <c r="L80" s="130"/>
      <c r="M80" s="130"/>
      <c r="N80" s="130"/>
      <c r="O80" s="130"/>
      <c r="P80" s="130"/>
      <c r="Q80" s="68">
        <v>8732</v>
      </c>
      <c r="R80" s="13">
        <f t="shared" si="14"/>
        <v>11649.44</v>
      </c>
      <c r="S80" s="7">
        <f t="shared" si="10"/>
        <v>-2750.5599999999995</v>
      </c>
    </row>
    <row r="81" spans="1:19" ht="15">
      <c r="A81" s="46" t="s">
        <v>39</v>
      </c>
      <c r="B81" s="91"/>
      <c r="C81" s="90"/>
      <c r="D81" s="91"/>
      <c r="E81" s="91"/>
      <c r="F81" s="125">
        <f t="shared" si="11"/>
        <v>0</v>
      </c>
      <c r="G81" s="128">
        <f>+E81*0.0861</f>
        <v>0</v>
      </c>
      <c r="H81" s="129">
        <f t="shared" si="13"/>
        <v>0</v>
      </c>
      <c r="I81" s="91"/>
      <c r="J81" s="91"/>
      <c r="K81" s="91"/>
      <c r="L81" s="91"/>
      <c r="M81" s="91"/>
      <c r="N81" s="91"/>
      <c r="O81" s="91"/>
      <c r="P81" s="91"/>
      <c r="Q81" s="91"/>
      <c r="R81" s="13">
        <f t="shared" si="14"/>
        <v>0</v>
      </c>
      <c r="S81" s="7">
        <f t="shared" si="10"/>
        <v>0</v>
      </c>
    </row>
    <row r="82" spans="1:19" ht="15">
      <c r="A82" s="51" t="s">
        <v>128</v>
      </c>
      <c r="B82" s="68">
        <v>418145</v>
      </c>
      <c r="C82" s="64">
        <v>164459.896</v>
      </c>
      <c r="D82" s="68">
        <v>495958.83999999997</v>
      </c>
      <c r="E82" s="68">
        <f>+'$1 increase'!E47</f>
        <v>464472.83999999997</v>
      </c>
      <c r="F82" s="144">
        <f t="shared" si="11"/>
        <v>46327.83999999997</v>
      </c>
      <c r="G82" s="128">
        <f>+ADC!E20</f>
        <v>139596.6</v>
      </c>
      <c r="H82" s="129">
        <f>+Nutrition!E17</f>
        <v>94462.16</v>
      </c>
      <c r="I82" s="91"/>
      <c r="J82" s="161"/>
      <c r="K82" s="130"/>
      <c r="L82" s="68"/>
      <c r="M82" s="68"/>
      <c r="N82" s="68"/>
      <c r="O82" s="68"/>
      <c r="P82" s="68"/>
      <c r="Q82" s="68">
        <v>206669</v>
      </c>
      <c r="R82" s="13">
        <f t="shared" si="14"/>
        <v>440727.76</v>
      </c>
      <c r="S82" s="7">
        <f t="shared" si="10"/>
        <v>-23745.079999999958</v>
      </c>
    </row>
    <row r="83" spans="1:19" ht="15">
      <c r="A83" s="51" t="s">
        <v>129</v>
      </c>
      <c r="B83" s="68">
        <v>31106</v>
      </c>
      <c r="C83" s="64">
        <v>14022.9</v>
      </c>
      <c r="D83" s="68">
        <v>36103.01526</v>
      </c>
      <c r="E83" s="68">
        <f>+'$1 increase'!F47</f>
        <v>33869.368259999996</v>
      </c>
      <c r="F83" s="144">
        <f t="shared" si="11"/>
        <v>2763.3682599999956</v>
      </c>
      <c r="G83" s="128">
        <f>+ADC!F20</f>
        <v>8841.303899999999</v>
      </c>
      <c r="H83" s="129">
        <f>+Nutrition!F17</f>
        <v>7226.35524</v>
      </c>
      <c r="I83" s="91"/>
      <c r="J83" s="161"/>
      <c r="K83" s="130"/>
      <c r="L83" s="68"/>
      <c r="M83" s="68"/>
      <c r="N83" s="68"/>
      <c r="O83" s="68"/>
      <c r="P83" s="68"/>
      <c r="Q83" s="68">
        <v>15810</v>
      </c>
      <c r="R83" s="13">
        <f t="shared" si="14"/>
        <v>31877.65914</v>
      </c>
      <c r="S83" s="7">
        <f t="shared" si="10"/>
        <v>-1991.709119999996</v>
      </c>
    </row>
    <row r="84" spans="1:19" ht="15">
      <c r="A84" s="51" t="s">
        <v>130</v>
      </c>
      <c r="B84" s="68">
        <v>2869</v>
      </c>
      <c r="C84" s="64">
        <v>147</v>
      </c>
      <c r="D84" s="68">
        <v>2679.8778</v>
      </c>
      <c r="E84" s="68">
        <f>+'$1 increase'!G47</f>
        <v>2629.1778</v>
      </c>
      <c r="F84" s="144">
        <f t="shared" si="11"/>
        <v>-239.82220000000007</v>
      </c>
      <c r="G84" s="128">
        <f>+ADC!G20</f>
        <v>720.016</v>
      </c>
      <c r="H84" s="129">
        <f>+Nutrition!G17</f>
        <v>540</v>
      </c>
      <c r="I84" s="91"/>
      <c r="J84" s="161"/>
      <c r="K84" s="130"/>
      <c r="L84" s="68"/>
      <c r="M84" s="68"/>
      <c r="N84" s="68"/>
      <c r="O84" s="68"/>
      <c r="P84" s="68"/>
      <c r="Q84" s="68">
        <v>1477</v>
      </c>
      <c r="R84" s="13">
        <f t="shared" si="14"/>
        <v>2737.016</v>
      </c>
      <c r="S84" s="7">
        <f t="shared" si="10"/>
        <v>107.83820000000014</v>
      </c>
    </row>
    <row r="85" spans="1:19" ht="15">
      <c r="A85" s="51" t="s">
        <v>131</v>
      </c>
      <c r="B85" s="68">
        <v>5710</v>
      </c>
      <c r="C85" s="64">
        <v>3939</v>
      </c>
      <c r="D85" s="68">
        <v>5986.601446799999</v>
      </c>
      <c r="E85" s="68">
        <f>+'$1 increase'!H47</f>
        <v>6384.134120000001</v>
      </c>
      <c r="F85" s="144">
        <f t="shared" si="11"/>
        <v>674.1341200000006</v>
      </c>
      <c r="G85" s="128">
        <f>+ADC!H20</f>
        <v>1907.0843999999997</v>
      </c>
      <c r="H85" s="129">
        <f>+Nutrition!H17</f>
        <v>1613.3748799999998</v>
      </c>
      <c r="I85" s="91"/>
      <c r="J85" s="161"/>
      <c r="K85" s="130"/>
      <c r="L85" s="68"/>
      <c r="M85" s="68"/>
      <c r="N85" s="68"/>
      <c r="O85" s="68"/>
      <c r="P85" s="68"/>
      <c r="Q85" s="68">
        <v>1055</v>
      </c>
      <c r="R85" s="13">
        <f t="shared" si="14"/>
        <v>4575.459279999999</v>
      </c>
      <c r="S85" s="7">
        <f t="shared" si="10"/>
        <v>-1808.6748400000015</v>
      </c>
    </row>
    <row r="86" spans="1:19" ht="15">
      <c r="A86" s="46" t="s">
        <v>40</v>
      </c>
      <c r="B86" s="91">
        <v>-15000</v>
      </c>
      <c r="C86" s="90"/>
      <c r="D86" s="91"/>
      <c r="E86" s="91"/>
      <c r="F86" s="125">
        <f t="shared" si="11"/>
        <v>15000</v>
      </c>
      <c r="G86" s="128"/>
      <c r="H86" s="129"/>
      <c r="I86" s="91"/>
      <c r="J86" s="91"/>
      <c r="K86" s="91"/>
      <c r="L86" s="91"/>
      <c r="M86" s="91"/>
      <c r="N86" s="91"/>
      <c r="O86" s="91"/>
      <c r="P86" s="91"/>
      <c r="Q86" s="91"/>
      <c r="R86" s="13">
        <f t="shared" si="14"/>
        <v>0</v>
      </c>
      <c r="S86" s="7">
        <f t="shared" si="10"/>
        <v>0</v>
      </c>
    </row>
    <row r="87" spans="1:19" ht="15">
      <c r="A87" s="4" t="s">
        <v>132</v>
      </c>
      <c r="B87" s="68">
        <v>3527</v>
      </c>
      <c r="C87" s="63">
        <v>984.78</v>
      </c>
      <c r="D87" s="68">
        <v>3135.04</v>
      </c>
      <c r="E87" s="68">
        <f>+'$1 increase'!I47</f>
        <v>3433.32</v>
      </c>
      <c r="F87" s="144">
        <f t="shared" si="11"/>
        <v>-93.67999999999984</v>
      </c>
      <c r="G87" s="128">
        <f>+ADC!I20</f>
        <v>762.96</v>
      </c>
      <c r="H87" s="129">
        <f>+Nutrition!I17</f>
        <v>381.48</v>
      </c>
      <c r="I87" s="91"/>
      <c r="J87" s="68"/>
      <c r="K87" s="130"/>
      <c r="L87" s="68"/>
      <c r="M87" s="68"/>
      <c r="N87" s="68"/>
      <c r="O87" s="68"/>
      <c r="P87" s="68"/>
      <c r="Q87" s="68">
        <v>1959</v>
      </c>
      <c r="R87" s="13">
        <f t="shared" si="14"/>
        <v>3103.44</v>
      </c>
      <c r="S87" s="7">
        <f t="shared" si="10"/>
        <v>-329.8800000000001</v>
      </c>
    </row>
    <row r="88" spans="1:19" ht="15">
      <c r="A88" s="4" t="s">
        <v>133</v>
      </c>
      <c r="B88" s="68">
        <v>7801</v>
      </c>
      <c r="C88" s="63">
        <v>2863.78</v>
      </c>
      <c r="D88" s="68">
        <v>9220.036799999998</v>
      </c>
      <c r="E88" s="68">
        <f>+'$1 increase'!J47</f>
        <v>8795.716799999998</v>
      </c>
      <c r="F88" s="144">
        <f t="shared" si="11"/>
        <v>994.7167999999983</v>
      </c>
      <c r="G88" s="128">
        <f>+ADC!J20</f>
        <v>2478.138</v>
      </c>
      <c r="H88" s="129">
        <f>+Nutrition!K17</f>
        <v>1510.9848000000002</v>
      </c>
      <c r="I88" s="91"/>
      <c r="J88" s="68"/>
      <c r="K88" s="130"/>
      <c r="L88" s="68"/>
      <c r="M88" s="68"/>
      <c r="N88" s="68"/>
      <c r="O88" s="68"/>
      <c r="P88" s="68"/>
      <c r="Q88" s="68">
        <v>3992</v>
      </c>
      <c r="R88" s="13">
        <f t="shared" si="14"/>
        <v>7981.1228</v>
      </c>
      <c r="S88" s="7">
        <f t="shared" si="10"/>
        <v>-814.5939999999982</v>
      </c>
    </row>
    <row r="89" spans="1:19" ht="15">
      <c r="A89" s="4" t="s">
        <v>134</v>
      </c>
      <c r="B89" s="68">
        <v>7801</v>
      </c>
      <c r="C89" s="63">
        <v>2872.78</v>
      </c>
      <c r="D89" s="68">
        <v>9220.036799999998</v>
      </c>
      <c r="E89" s="68">
        <f>+'$1 increase'!K47</f>
        <v>8795.716799999998</v>
      </c>
      <c r="F89" s="144">
        <f t="shared" si="11"/>
        <v>994.7167999999983</v>
      </c>
      <c r="G89" s="128">
        <f>+ADC!K20</f>
        <v>2478.138</v>
      </c>
      <c r="H89" s="129">
        <f>+Nutrition!J17</f>
        <v>1510.9848000000002</v>
      </c>
      <c r="I89" s="91"/>
      <c r="J89" s="68"/>
      <c r="K89" s="130"/>
      <c r="L89" s="68"/>
      <c r="M89" s="68"/>
      <c r="N89" s="68"/>
      <c r="O89" s="68"/>
      <c r="P89" s="68"/>
      <c r="Q89" s="68">
        <v>4524</v>
      </c>
      <c r="R89" s="13">
        <f t="shared" si="14"/>
        <v>8513.122800000001</v>
      </c>
      <c r="S89" s="7">
        <f t="shared" si="10"/>
        <v>-282.5939999999973</v>
      </c>
    </row>
    <row r="90" spans="1:19" ht="15">
      <c r="A90" s="4" t="s">
        <v>135</v>
      </c>
      <c r="B90" s="68">
        <v>1150</v>
      </c>
      <c r="C90" s="68">
        <v>1100</v>
      </c>
      <c r="D90" s="68">
        <v>1150</v>
      </c>
      <c r="E90" s="68">
        <v>1150</v>
      </c>
      <c r="F90" s="144">
        <f t="shared" si="11"/>
        <v>0</v>
      </c>
      <c r="G90" s="128">
        <v>400</v>
      </c>
      <c r="H90" s="129">
        <v>250</v>
      </c>
      <c r="I90" s="91"/>
      <c r="J90" s="68"/>
      <c r="K90" s="130"/>
      <c r="L90" s="68"/>
      <c r="M90" s="68"/>
      <c r="N90" s="68"/>
      <c r="O90" s="68"/>
      <c r="P90" s="68"/>
      <c r="Q90" s="68">
        <v>500</v>
      </c>
      <c r="R90" s="13">
        <f t="shared" si="14"/>
        <v>1150</v>
      </c>
      <c r="S90" s="7">
        <f t="shared" si="10"/>
        <v>0</v>
      </c>
    </row>
    <row r="91" spans="1:19" ht="15">
      <c r="A91" s="46" t="s">
        <v>41</v>
      </c>
      <c r="B91" s="91"/>
      <c r="C91" s="90"/>
      <c r="D91" s="91"/>
      <c r="E91" s="91"/>
      <c r="F91" s="125">
        <f t="shared" si="11"/>
        <v>0</v>
      </c>
      <c r="G91" s="128"/>
      <c r="H91" s="129"/>
      <c r="I91" s="91"/>
      <c r="J91" s="91"/>
      <c r="K91" s="91"/>
      <c r="L91" s="91"/>
      <c r="M91" s="91"/>
      <c r="N91" s="91"/>
      <c r="O91" s="91"/>
      <c r="P91" s="91"/>
      <c r="Q91" s="91"/>
      <c r="R91" s="13">
        <f t="shared" si="14"/>
        <v>0</v>
      </c>
      <c r="S91" s="7">
        <f t="shared" si="10"/>
        <v>0</v>
      </c>
    </row>
    <row r="92" spans="1:19" ht="15">
      <c r="A92" s="46" t="s">
        <v>42</v>
      </c>
      <c r="B92" s="91">
        <v>2000</v>
      </c>
      <c r="C92" s="91">
        <v>7709.88</v>
      </c>
      <c r="D92" s="91">
        <v>2000</v>
      </c>
      <c r="E92" s="91">
        <v>2000</v>
      </c>
      <c r="F92" s="125">
        <f t="shared" si="11"/>
        <v>0</v>
      </c>
      <c r="G92" s="128">
        <f aca="true" t="shared" si="15" ref="G92:G129">+E92*0.0814</f>
        <v>162.8</v>
      </c>
      <c r="H92" s="129">
        <f aca="true" t="shared" si="16" ref="H92:H129">+E92*0.1212</f>
        <v>242.4</v>
      </c>
      <c r="I92" s="91"/>
      <c r="J92" s="91"/>
      <c r="K92" s="91"/>
      <c r="L92" s="91"/>
      <c r="M92" s="91"/>
      <c r="N92" s="91"/>
      <c r="O92" s="91"/>
      <c r="P92" s="91"/>
      <c r="Q92" s="91">
        <v>8732</v>
      </c>
      <c r="R92" s="13">
        <f t="shared" si="14"/>
        <v>9137.2</v>
      </c>
      <c r="S92" s="7">
        <f t="shared" si="10"/>
        <v>7137.200000000001</v>
      </c>
    </row>
    <row r="93" spans="1:19" ht="15">
      <c r="A93" s="46" t="s">
        <v>43</v>
      </c>
      <c r="B93" s="91"/>
      <c r="C93" s="90"/>
      <c r="D93" s="91"/>
      <c r="E93" s="91"/>
      <c r="F93" s="125">
        <f t="shared" si="11"/>
        <v>0</v>
      </c>
      <c r="G93" s="128">
        <f t="shared" si="15"/>
        <v>0</v>
      </c>
      <c r="H93" s="129">
        <f t="shared" si="16"/>
        <v>0</v>
      </c>
      <c r="I93" s="91"/>
      <c r="J93" s="91"/>
      <c r="K93" s="91"/>
      <c r="L93" s="91"/>
      <c r="M93" s="91"/>
      <c r="N93" s="91"/>
      <c r="O93" s="91"/>
      <c r="P93" s="91"/>
      <c r="Q93" s="91"/>
      <c r="R93" s="13">
        <f t="shared" si="14"/>
        <v>0</v>
      </c>
      <c r="S93" s="7">
        <f t="shared" si="10"/>
        <v>0</v>
      </c>
    </row>
    <row r="94" spans="1:19" ht="15">
      <c r="A94" s="4" t="s">
        <v>136</v>
      </c>
      <c r="B94" s="68">
        <v>48000</v>
      </c>
      <c r="C94" s="64">
        <v>19177.1</v>
      </c>
      <c r="D94" s="68">
        <v>40000</v>
      </c>
      <c r="E94" s="68">
        <v>40000</v>
      </c>
      <c r="F94" s="144">
        <f t="shared" si="11"/>
        <v>-8000</v>
      </c>
      <c r="G94" s="128"/>
      <c r="H94" s="129">
        <v>43600</v>
      </c>
      <c r="I94" s="91"/>
      <c r="J94" s="68"/>
      <c r="K94" s="130"/>
      <c r="L94" s="130"/>
      <c r="M94" s="130"/>
      <c r="N94" s="130"/>
      <c r="O94" s="130"/>
      <c r="P94" s="130"/>
      <c r="Q94" s="68"/>
      <c r="R94" s="13">
        <f t="shared" si="14"/>
        <v>43600</v>
      </c>
      <c r="S94" s="7">
        <f t="shared" si="10"/>
        <v>3600</v>
      </c>
    </row>
    <row r="95" spans="1:19" ht="15">
      <c r="A95" s="4" t="s">
        <v>138</v>
      </c>
      <c r="B95" s="109">
        <v>100</v>
      </c>
      <c r="C95" s="64">
        <v>30</v>
      </c>
      <c r="D95" s="109">
        <v>100</v>
      </c>
      <c r="E95" s="109">
        <v>100</v>
      </c>
      <c r="F95" s="144">
        <f t="shared" si="11"/>
        <v>0</v>
      </c>
      <c r="G95" s="128"/>
      <c r="H95" s="129">
        <v>100</v>
      </c>
      <c r="I95" s="91"/>
      <c r="J95" s="130"/>
      <c r="K95" s="130"/>
      <c r="L95" s="130"/>
      <c r="M95" s="130"/>
      <c r="N95" s="130"/>
      <c r="O95" s="130"/>
      <c r="P95" s="130"/>
      <c r="Q95" s="68">
        <v>79</v>
      </c>
      <c r="R95" s="13">
        <f t="shared" si="14"/>
        <v>179</v>
      </c>
      <c r="S95" s="7">
        <f t="shared" si="10"/>
        <v>79</v>
      </c>
    </row>
    <row r="96" spans="1:19" ht="15">
      <c r="A96" s="4" t="s">
        <v>137</v>
      </c>
      <c r="B96" s="109">
        <v>8500</v>
      </c>
      <c r="C96" s="68">
        <v>3181.27</v>
      </c>
      <c r="D96" s="109">
        <v>6000</v>
      </c>
      <c r="E96" s="109">
        <v>6000</v>
      </c>
      <c r="F96" s="144">
        <f t="shared" si="11"/>
        <v>-2500</v>
      </c>
      <c r="G96" s="128"/>
      <c r="H96" s="129">
        <v>6500</v>
      </c>
      <c r="I96" s="91"/>
      <c r="J96" s="68"/>
      <c r="K96" s="130"/>
      <c r="L96" s="130"/>
      <c r="M96" s="130"/>
      <c r="N96" s="130"/>
      <c r="O96" s="130"/>
      <c r="P96" s="130"/>
      <c r="Q96" s="68"/>
      <c r="R96" s="13">
        <f t="shared" si="14"/>
        <v>6500</v>
      </c>
      <c r="S96" s="7">
        <f t="shared" si="10"/>
        <v>500</v>
      </c>
    </row>
    <row r="97" spans="1:19" ht="15">
      <c r="A97" s="46" t="s">
        <v>44</v>
      </c>
      <c r="B97" s="91"/>
      <c r="C97" s="90"/>
      <c r="D97" s="91"/>
      <c r="E97" s="91"/>
      <c r="F97" s="125">
        <f t="shared" si="11"/>
        <v>0</v>
      </c>
      <c r="G97" s="128">
        <f t="shared" si="15"/>
        <v>0</v>
      </c>
      <c r="H97" s="129">
        <f t="shared" si="16"/>
        <v>0</v>
      </c>
      <c r="I97" s="91"/>
      <c r="J97" s="91"/>
      <c r="K97" s="91"/>
      <c r="L97" s="91"/>
      <c r="M97" s="91"/>
      <c r="N97" s="91"/>
      <c r="O97" s="91"/>
      <c r="P97" s="91"/>
      <c r="Q97" s="91"/>
      <c r="R97" s="13">
        <f t="shared" si="14"/>
        <v>0</v>
      </c>
      <c r="S97" s="7">
        <f t="shared" si="10"/>
        <v>0</v>
      </c>
    </row>
    <row r="98" spans="1:19" ht="15">
      <c r="A98" s="4" t="s">
        <v>160</v>
      </c>
      <c r="B98" s="109">
        <v>2800</v>
      </c>
      <c r="C98" s="63">
        <v>0</v>
      </c>
      <c r="D98" s="109">
        <v>2820</v>
      </c>
      <c r="E98" s="109">
        <v>2820</v>
      </c>
      <c r="F98" s="144">
        <f t="shared" si="11"/>
        <v>20</v>
      </c>
      <c r="G98" s="128">
        <f t="shared" si="15"/>
        <v>229.548</v>
      </c>
      <c r="H98" s="129">
        <f t="shared" si="16"/>
        <v>341.784</v>
      </c>
      <c r="I98" s="91"/>
      <c r="J98" s="130"/>
      <c r="K98" s="130"/>
      <c r="L98" s="130"/>
      <c r="M98" s="130"/>
      <c r="N98" s="130"/>
      <c r="O98" s="130"/>
      <c r="P98" s="130"/>
      <c r="Q98" s="68">
        <v>2223</v>
      </c>
      <c r="R98" s="13">
        <f t="shared" si="14"/>
        <v>2794.332</v>
      </c>
      <c r="S98" s="7">
        <f t="shared" si="10"/>
        <v>-25.66800000000012</v>
      </c>
    </row>
    <row r="99" spans="1:19" ht="15">
      <c r="A99" s="4" t="s">
        <v>161</v>
      </c>
      <c r="B99" s="109">
        <v>2310</v>
      </c>
      <c r="C99" s="64">
        <v>0</v>
      </c>
      <c r="D99" s="109">
        <v>2338</v>
      </c>
      <c r="E99" s="109">
        <v>2338</v>
      </c>
      <c r="F99" s="144">
        <f t="shared" si="11"/>
        <v>28</v>
      </c>
      <c r="G99" s="128">
        <f t="shared" si="15"/>
        <v>190.3132</v>
      </c>
      <c r="H99" s="129">
        <f t="shared" si="16"/>
        <v>283.36560000000003</v>
      </c>
      <c r="I99" s="91"/>
      <c r="J99" s="130"/>
      <c r="K99" s="130"/>
      <c r="L99" s="130"/>
      <c r="M99" s="130"/>
      <c r="N99" s="130"/>
      <c r="O99" s="130"/>
      <c r="P99" s="130"/>
      <c r="Q99" s="68">
        <v>1834</v>
      </c>
      <c r="R99" s="13">
        <f t="shared" si="14"/>
        <v>2307.6788</v>
      </c>
      <c r="S99" s="7">
        <f t="shared" si="10"/>
        <v>-30.321199999999862</v>
      </c>
    </row>
    <row r="100" spans="1:19" ht="15">
      <c r="A100" s="4" t="s">
        <v>162</v>
      </c>
      <c r="B100" s="109">
        <v>816</v>
      </c>
      <c r="C100" s="68">
        <v>0</v>
      </c>
      <c r="D100" s="109">
        <v>842</v>
      </c>
      <c r="E100" s="109">
        <v>842</v>
      </c>
      <c r="F100" s="144">
        <f t="shared" si="11"/>
        <v>26</v>
      </c>
      <c r="G100" s="128">
        <f t="shared" si="15"/>
        <v>68.5388</v>
      </c>
      <c r="H100" s="129">
        <f t="shared" si="16"/>
        <v>102.0504</v>
      </c>
      <c r="I100" s="91"/>
      <c r="J100" s="130"/>
      <c r="K100" s="130"/>
      <c r="L100" s="130"/>
      <c r="M100" s="130"/>
      <c r="N100" s="130"/>
      <c r="O100" s="130"/>
      <c r="P100" s="130"/>
      <c r="Q100" s="68">
        <v>648</v>
      </c>
      <c r="R100" s="13">
        <f t="shared" si="14"/>
        <v>818.5892</v>
      </c>
      <c r="S100" s="7">
        <f t="shared" si="10"/>
        <v>-23.410799999999995</v>
      </c>
    </row>
    <row r="101" spans="1:19" ht="15">
      <c r="A101" s="46" t="s">
        <v>45</v>
      </c>
      <c r="B101" s="91"/>
      <c r="C101" s="90"/>
      <c r="D101" s="91"/>
      <c r="E101" s="91"/>
      <c r="F101" s="125">
        <f t="shared" si="11"/>
        <v>0</v>
      </c>
      <c r="G101" s="128">
        <f t="shared" si="15"/>
        <v>0</v>
      </c>
      <c r="H101" s="129">
        <f t="shared" si="16"/>
        <v>0</v>
      </c>
      <c r="I101" s="91"/>
      <c r="J101" s="91"/>
      <c r="K101" s="91"/>
      <c r="L101" s="91"/>
      <c r="M101" s="91"/>
      <c r="N101" s="91"/>
      <c r="O101" s="91"/>
      <c r="P101" s="91"/>
      <c r="Q101" s="91"/>
      <c r="R101" s="13">
        <f t="shared" si="14"/>
        <v>0</v>
      </c>
      <c r="S101" s="7">
        <f t="shared" si="10"/>
        <v>0</v>
      </c>
    </row>
    <row r="102" spans="1:19" ht="15">
      <c r="A102" s="4" t="s">
        <v>139</v>
      </c>
      <c r="B102" s="109">
        <v>8000</v>
      </c>
      <c r="C102" s="64">
        <v>9450</v>
      </c>
      <c r="D102" s="109">
        <v>9500</v>
      </c>
      <c r="E102" s="109">
        <v>9500</v>
      </c>
      <c r="F102" s="144">
        <f t="shared" si="11"/>
        <v>1500</v>
      </c>
      <c r="G102" s="128">
        <f t="shared" si="15"/>
        <v>773.3</v>
      </c>
      <c r="H102" s="129">
        <f t="shared" si="16"/>
        <v>1151.4</v>
      </c>
      <c r="I102" s="91"/>
      <c r="J102" s="130"/>
      <c r="K102" s="130"/>
      <c r="L102" s="130"/>
      <c r="M102" s="130"/>
      <c r="N102" s="130"/>
      <c r="O102" s="130"/>
      <c r="P102" s="130"/>
      <c r="Q102" s="68">
        <v>6350</v>
      </c>
      <c r="R102" s="13">
        <f t="shared" si="14"/>
        <v>8274.7</v>
      </c>
      <c r="S102" s="7">
        <f t="shared" si="10"/>
        <v>-1225.2999999999993</v>
      </c>
    </row>
    <row r="103" spans="1:19" ht="15">
      <c r="A103" s="4" t="s">
        <v>163</v>
      </c>
      <c r="B103" s="109">
        <v>500</v>
      </c>
      <c r="C103" s="63">
        <v>0</v>
      </c>
      <c r="D103" s="109">
        <v>500</v>
      </c>
      <c r="E103" s="109">
        <v>500</v>
      </c>
      <c r="F103" s="144">
        <f t="shared" si="11"/>
        <v>0</v>
      </c>
      <c r="G103" s="128">
        <f t="shared" si="15"/>
        <v>40.7</v>
      </c>
      <c r="H103" s="129">
        <f t="shared" si="16"/>
        <v>60.6</v>
      </c>
      <c r="I103" s="91"/>
      <c r="J103" s="130"/>
      <c r="K103" s="130"/>
      <c r="L103" s="130"/>
      <c r="M103" s="130"/>
      <c r="N103" s="130"/>
      <c r="O103" s="130"/>
      <c r="P103" s="130"/>
      <c r="Q103" s="68">
        <v>397</v>
      </c>
      <c r="R103" s="13">
        <f t="shared" si="14"/>
        <v>498.3</v>
      </c>
      <c r="S103" s="7">
        <f t="shared" si="10"/>
        <v>-1.6999999999999886</v>
      </c>
    </row>
    <row r="104" spans="1:19" ht="15">
      <c r="A104" s="4" t="s">
        <v>164</v>
      </c>
      <c r="B104" s="109">
        <v>900</v>
      </c>
      <c r="C104" s="68">
        <v>410.86</v>
      </c>
      <c r="D104" s="109">
        <v>900</v>
      </c>
      <c r="E104" s="109">
        <v>900</v>
      </c>
      <c r="F104" s="144">
        <f t="shared" si="11"/>
        <v>0</v>
      </c>
      <c r="G104" s="128">
        <f t="shared" si="15"/>
        <v>73.26</v>
      </c>
      <c r="H104" s="129">
        <f t="shared" si="16"/>
        <v>109.08</v>
      </c>
      <c r="I104" s="91"/>
      <c r="J104" s="130"/>
      <c r="K104" s="130"/>
      <c r="L104" s="130"/>
      <c r="M104" s="130"/>
      <c r="N104" s="130"/>
      <c r="O104" s="130"/>
      <c r="P104" s="130"/>
      <c r="Q104" s="68">
        <v>714</v>
      </c>
      <c r="R104" s="13">
        <f t="shared" si="14"/>
        <v>896.34</v>
      </c>
      <c r="S104" s="7">
        <f t="shared" si="10"/>
        <v>-3.659999999999968</v>
      </c>
    </row>
    <row r="105" spans="1:19" ht="15">
      <c r="A105" s="46" t="s">
        <v>46</v>
      </c>
      <c r="B105" s="91"/>
      <c r="C105" s="90"/>
      <c r="D105" s="91"/>
      <c r="E105" s="91"/>
      <c r="F105" s="125">
        <f t="shared" si="11"/>
        <v>0</v>
      </c>
      <c r="G105" s="128">
        <f t="shared" si="15"/>
        <v>0</v>
      </c>
      <c r="H105" s="129">
        <f t="shared" si="16"/>
        <v>0</v>
      </c>
      <c r="I105" s="91"/>
      <c r="J105" s="91"/>
      <c r="K105" s="91"/>
      <c r="L105" s="91"/>
      <c r="M105" s="91"/>
      <c r="N105" s="91"/>
      <c r="O105" s="91"/>
      <c r="P105" s="91"/>
      <c r="Q105" s="91"/>
      <c r="R105" s="13">
        <f t="shared" si="14"/>
        <v>0</v>
      </c>
      <c r="S105" s="7">
        <f t="shared" si="10"/>
        <v>0</v>
      </c>
    </row>
    <row r="106" spans="1:19" ht="15">
      <c r="A106" s="4" t="s">
        <v>141</v>
      </c>
      <c r="B106" s="109">
        <v>1000</v>
      </c>
      <c r="C106" s="63">
        <v>550</v>
      </c>
      <c r="D106" s="109">
        <v>1000</v>
      </c>
      <c r="E106" s="109">
        <v>1000</v>
      </c>
      <c r="F106" s="144">
        <f t="shared" si="11"/>
        <v>0</v>
      </c>
      <c r="G106" s="128">
        <f t="shared" si="15"/>
        <v>81.4</v>
      </c>
      <c r="H106" s="129">
        <f t="shared" si="16"/>
        <v>121.2</v>
      </c>
      <c r="I106" s="91"/>
      <c r="J106" s="130"/>
      <c r="K106" s="130"/>
      <c r="L106" s="130"/>
      <c r="M106" s="130"/>
      <c r="N106" s="130"/>
      <c r="O106" s="130"/>
      <c r="P106" s="130"/>
      <c r="Q106" s="68">
        <v>794</v>
      </c>
      <c r="R106" s="13">
        <f t="shared" si="14"/>
        <v>996.6</v>
      </c>
      <c r="S106" s="7">
        <f t="shared" si="10"/>
        <v>-3.3999999999999773</v>
      </c>
    </row>
    <row r="107" spans="1:19" ht="15">
      <c r="A107" s="4" t="s">
        <v>140</v>
      </c>
      <c r="B107" s="109">
        <v>1000</v>
      </c>
      <c r="C107" s="68">
        <v>252.45</v>
      </c>
      <c r="D107" s="109">
        <v>1000</v>
      </c>
      <c r="E107" s="109">
        <v>1000</v>
      </c>
      <c r="F107" s="144">
        <f t="shared" si="11"/>
        <v>0</v>
      </c>
      <c r="G107" s="128">
        <f t="shared" si="15"/>
        <v>81.4</v>
      </c>
      <c r="H107" s="129">
        <f t="shared" si="16"/>
        <v>121.2</v>
      </c>
      <c r="I107" s="91"/>
      <c r="J107" s="130"/>
      <c r="K107" s="130"/>
      <c r="L107" s="109"/>
      <c r="M107" s="109"/>
      <c r="N107" s="109"/>
      <c r="O107" s="109"/>
      <c r="P107" s="68"/>
      <c r="Q107" s="68">
        <v>794</v>
      </c>
      <c r="R107" s="13">
        <f t="shared" si="14"/>
        <v>996.6</v>
      </c>
      <c r="S107" s="7">
        <f t="shared" si="10"/>
        <v>-3.3999999999999773</v>
      </c>
    </row>
    <row r="108" spans="1:19" ht="15">
      <c r="A108" s="46" t="s">
        <v>47</v>
      </c>
      <c r="B108" s="91"/>
      <c r="C108" s="90"/>
      <c r="D108" s="91"/>
      <c r="E108" s="91"/>
      <c r="F108" s="125">
        <f t="shared" si="11"/>
        <v>0</v>
      </c>
      <c r="G108" s="128">
        <f t="shared" si="15"/>
        <v>0</v>
      </c>
      <c r="H108" s="129">
        <f t="shared" si="16"/>
        <v>0</v>
      </c>
      <c r="I108" s="91"/>
      <c r="J108" s="91"/>
      <c r="K108" s="91"/>
      <c r="L108" s="91"/>
      <c r="M108" s="91"/>
      <c r="N108" s="91"/>
      <c r="O108" s="91"/>
      <c r="P108" s="91"/>
      <c r="Q108" s="91"/>
      <c r="R108" s="13">
        <f t="shared" si="14"/>
        <v>0</v>
      </c>
      <c r="S108" s="7">
        <f t="shared" si="10"/>
        <v>0</v>
      </c>
    </row>
    <row r="109" spans="1:19" ht="15">
      <c r="A109" s="4" t="s">
        <v>48</v>
      </c>
      <c r="B109" s="109">
        <v>9000</v>
      </c>
      <c r="C109" s="64">
        <v>9846.78</v>
      </c>
      <c r="D109" s="109">
        <v>9000</v>
      </c>
      <c r="E109" s="109">
        <v>9000</v>
      </c>
      <c r="F109" s="144">
        <f t="shared" si="11"/>
        <v>0</v>
      </c>
      <c r="G109" s="128">
        <f t="shared" si="15"/>
        <v>732.6</v>
      </c>
      <c r="H109" s="129">
        <f t="shared" si="16"/>
        <v>1090.8</v>
      </c>
      <c r="I109" s="91"/>
      <c r="J109" s="109"/>
      <c r="K109" s="130"/>
      <c r="L109" s="109"/>
      <c r="M109" s="109"/>
      <c r="N109" s="109"/>
      <c r="O109" s="109"/>
      <c r="P109" s="109"/>
      <c r="Q109" s="68">
        <v>7144</v>
      </c>
      <c r="R109" s="13">
        <f t="shared" si="14"/>
        <v>8967.4</v>
      </c>
      <c r="S109" s="7">
        <f t="shared" si="10"/>
        <v>-32.600000000000364</v>
      </c>
    </row>
    <row r="110" spans="1:19" ht="15">
      <c r="A110" s="4" t="s">
        <v>49</v>
      </c>
      <c r="B110" s="109">
        <v>8000</v>
      </c>
      <c r="C110" s="64">
        <v>10816.32</v>
      </c>
      <c r="D110" s="109">
        <v>8000</v>
      </c>
      <c r="E110" s="109">
        <v>8000</v>
      </c>
      <c r="F110" s="144">
        <f t="shared" si="11"/>
        <v>0</v>
      </c>
      <c r="G110" s="128">
        <f t="shared" si="15"/>
        <v>651.2</v>
      </c>
      <c r="H110" s="129">
        <f t="shared" si="16"/>
        <v>969.6</v>
      </c>
      <c r="I110" s="91"/>
      <c r="J110" s="109"/>
      <c r="K110" s="130"/>
      <c r="L110" s="109"/>
      <c r="M110" s="109"/>
      <c r="N110" s="109"/>
      <c r="O110" s="109"/>
      <c r="P110" s="130"/>
      <c r="Q110" s="68">
        <v>6350</v>
      </c>
      <c r="R110" s="13">
        <f t="shared" si="14"/>
        <v>7970.8</v>
      </c>
      <c r="S110" s="7">
        <f t="shared" si="10"/>
        <v>-29.199999999999818</v>
      </c>
    </row>
    <row r="111" spans="1:19" ht="15">
      <c r="A111" s="4" t="s">
        <v>50</v>
      </c>
      <c r="B111" s="109">
        <v>4000</v>
      </c>
      <c r="C111" s="64">
        <v>1732.2</v>
      </c>
      <c r="D111" s="109">
        <v>4000</v>
      </c>
      <c r="E111" s="109">
        <v>4000</v>
      </c>
      <c r="F111" s="144">
        <f t="shared" si="11"/>
        <v>0</v>
      </c>
      <c r="G111" s="128">
        <f t="shared" si="15"/>
        <v>325.6</v>
      </c>
      <c r="H111" s="129">
        <f t="shared" si="16"/>
        <v>484.8</v>
      </c>
      <c r="I111" s="91"/>
      <c r="J111" s="109"/>
      <c r="K111" s="68"/>
      <c r="L111" s="109"/>
      <c r="M111" s="109"/>
      <c r="N111" s="109"/>
      <c r="O111" s="109"/>
      <c r="P111" s="109"/>
      <c r="Q111" s="68">
        <v>3175</v>
      </c>
      <c r="R111" s="13">
        <f t="shared" si="14"/>
        <v>3985.4</v>
      </c>
      <c r="S111" s="7">
        <f t="shared" si="10"/>
        <v>-14.599999999999909</v>
      </c>
    </row>
    <row r="112" spans="1:19" ht="15">
      <c r="A112" s="4" t="s">
        <v>51</v>
      </c>
      <c r="B112" s="109">
        <v>2500</v>
      </c>
      <c r="C112" s="64">
        <v>1030.25</v>
      </c>
      <c r="D112" s="109">
        <v>2200</v>
      </c>
      <c r="E112" s="109">
        <v>2200</v>
      </c>
      <c r="F112" s="144">
        <f t="shared" si="11"/>
        <v>-300</v>
      </c>
      <c r="G112" s="128">
        <f t="shared" si="15"/>
        <v>179.08</v>
      </c>
      <c r="H112" s="129">
        <f t="shared" si="16"/>
        <v>266.64</v>
      </c>
      <c r="I112" s="91"/>
      <c r="J112" s="130"/>
      <c r="K112" s="130"/>
      <c r="L112" s="109"/>
      <c r="M112" s="109"/>
      <c r="N112" s="109"/>
      <c r="O112" s="109"/>
      <c r="P112" s="130"/>
      <c r="Q112" s="68">
        <v>1985</v>
      </c>
      <c r="R112" s="13">
        <f t="shared" si="14"/>
        <v>2430.7200000000003</v>
      </c>
      <c r="S112" s="7">
        <f t="shared" si="10"/>
        <v>230.72000000000025</v>
      </c>
    </row>
    <row r="113" spans="1:19" ht="15">
      <c r="A113" s="4" t="s">
        <v>184</v>
      </c>
      <c r="B113" s="109">
        <v>5700</v>
      </c>
      <c r="C113" s="64">
        <v>2330.33</v>
      </c>
      <c r="D113" s="109">
        <v>5000</v>
      </c>
      <c r="E113" s="109">
        <v>5000</v>
      </c>
      <c r="F113" s="144">
        <f t="shared" si="11"/>
        <v>-700</v>
      </c>
      <c r="G113" s="128">
        <f t="shared" si="15"/>
        <v>407</v>
      </c>
      <c r="H113" s="129">
        <f t="shared" si="16"/>
        <v>606</v>
      </c>
      <c r="I113" s="91"/>
      <c r="J113" s="68"/>
      <c r="K113" s="130"/>
      <c r="L113" s="109"/>
      <c r="M113" s="109"/>
      <c r="N113" s="109"/>
      <c r="O113" s="109"/>
      <c r="P113" s="130"/>
      <c r="Q113" s="68">
        <v>4525</v>
      </c>
      <c r="R113" s="13">
        <f t="shared" si="14"/>
        <v>5538</v>
      </c>
      <c r="S113" s="7">
        <f t="shared" si="10"/>
        <v>538</v>
      </c>
    </row>
    <row r="114" spans="1:19" ht="15">
      <c r="A114" s="4" t="s">
        <v>52</v>
      </c>
      <c r="B114" s="109">
        <v>3000</v>
      </c>
      <c r="C114" s="64">
        <v>1504.35</v>
      </c>
      <c r="D114" s="109">
        <v>3000</v>
      </c>
      <c r="E114" s="109">
        <v>3000</v>
      </c>
      <c r="F114" s="144">
        <f t="shared" si="11"/>
        <v>0</v>
      </c>
      <c r="G114" s="128">
        <f t="shared" si="15"/>
        <v>244.2</v>
      </c>
      <c r="H114" s="129">
        <f t="shared" si="16"/>
        <v>363.6</v>
      </c>
      <c r="I114" s="91"/>
      <c r="J114" s="130"/>
      <c r="K114" s="130"/>
      <c r="L114" s="130"/>
      <c r="M114" s="130"/>
      <c r="N114" s="130"/>
      <c r="O114" s="130"/>
      <c r="P114" s="130"/>
      <c r="Q114" s="68">
        <v>2381</v>
      </c>
      <c r="R114" s="13">
        <f t="shared" si="14"/>
        <v>2988.8</v>
      </c>
      <c r="S114" s="7">
        <f t="shared" si="10"/>
        <v>-11.199999999999818</v>
      </c>
    </row>
    <row r="115" spans="1:19" ht="15">
      <c r="A115" s="4" t="s">
        <v>53</v>
      </c>
      <c r="B115" s="109">
        <v>55000</v>
      </c>
      <c r="C115" s="64">
        <v>24322.48</v>
      </c>
      <c r="D115" s="109">
        <v>48600</v>
      </c>
      <c r="E115" s="109">
        <v>48600</v>
      </c>
      <c r="F115" s="144">
        <f t="shared" si="11"/>
        <v>-6400</v>
      </c>
      <c r="G115" s="128">
        <f t="shared" si="15"/>
        <v>3956.04</v>
      </c>
      <c r="H115" s="129">
        <f t="shared" si="16"/>
        <v>5890.32</v>
      </c>
      <c r="I115" s="91"/>
      <c r="J115" s="109"/>
      <c r="K115" s="130"/>
      <c r="L115" s="109"/>
      <c r="M115" s="109"/>
      <c r="N115" s="109"/>
      <c r="O115" s="109"/>
      <c r="P115" s="130"/>
      <c r="Q115" s="68">
        <v>43659</v>
      </c>
      <c r="R115" s="13">
        <f t="shared" si="14"/>
        <v>53505.36</v>
      </c>
      <c r="S115" s="7">
        <f t="shared" si="10"/>
        <v>4905.360000000001</v>
      </c>
    </row>
    <row r="116" spans="1:19" ht="15">
      <c r="A116" s="4" t="s">
        <v>54</v>
      </c>
      <c r="B116" s="109">
        <v>15000</v>
      </c>
      <c r="C116" s="68">
        <v>3900.45</v>
      </c>
      <c r="D116" s="109">
        <v>8000</v>
      </c>
      <c r="E116" s="109">
        <v>8000</v>
      </c>
      <c r="F116" s="144">
        <f t="shared" si="11"/>
        <v>-7000</v>
      </c>
      <c r="G116" s="128">
        <f t="shared" si="15"/>
        <v>651.2</v>
      </c>
      <c r="H116" s="129">
        <f t="shared" si="16"/>
        <v>969.6</v>
      </c>
      <c r="I116" s="91"/>
      <c r="J116" s="109"/>
      <c r="K116" s="130"/>
      <c r="L116" s="109"/>
      <c r="M116" s="109"/>
      <c r="N116" s="109"/>
      <c r="O116" s="109"/>
      <c r="P116" s="130"/>
      <c r="Q116" s="68">
        <v>11907</v>
      </c>
      <c r="R116" s="13">
        <f t="shared" si="14"/>
        <v>13527.8</v>
      </c>
      <c r="S116" s="7">
        <f t="shared" si="10"/>
        <v>5527.799999999999</v>
      </c>
    </row>
    <row r="117" spans="1:19" ht="15">
      <c r="A117" s="4" t="s">
        <v>185</v>
      </c>
      <c r="B117" s="109">
        <v>2500</v>
      </c>
      <c r="C117" s="68">
        <v>960</v>
      </c>
      <c r="D117" s="109">
        <v>1920</v>
      </c>
      <c r="E117" s="109">
        <v>1920</v>
      </c>
      <c r="F117" s="144">
        <f t="shared" si="11"/>
        <v>-580</v>
      </c>
      <c r="G117" s="128">
        <f t="shared" si="15"/>
        <v>156.288</v>
      </c>
      <c r="H117" s="129">
        <f t="shared" si="16"/>
        <v>232.704</v>
      </c>
      <c r="I117" s="91"/>
      <c r="J117" s="109"/>
      <c r="K117" s="130"/>
      <c r="L117" s="109"/>
      <c r="M117" s="109"/>
      <c r="N117" s="109"/>
      <c r="O117" s="109"/>
      <c r="P117" s="130"/>
      <c r="Q117" s="68"/>
      <c r="R117" s="13"/>
      <c r="S117" s="7"/>
    </row>
    <row r="118" spans="1:19" ht="15">
      <c r="A118" s="46" t="s">
        <v>55</v>
      </c>
      <c r="B118" s="91"/>
      <c r="C118" s="90"/>
      <c r="D118" s="91"/>
      <c r="E118" s="91"/>
      <c r="F118" s="125"/>
      <c r="G118" s="128">
        <f t="shared" si="15"/>
        <v>0</v>
      </c>
      <c r="H118" s="129">
        <f t="shared" si="16"/>
        <v>0</v>
      </c>
      <c r="I118" s="91"/>
      <c r="J118" s="91"/>
      <c r="K118" s="91"/>
      <c r="L118" s="91"/>
      <c r="M118" s="91"/>
      <c r="N118" s="91"/>
      <c r="O118" s="91"/>
      <c r="P118" s="91"/>
      <c r="Q118" s="91"/>
      <c r="R118" s="13">
        <f t="shared" si="14"/>
        <v>0</v>
      </c>
      <c r="S118" s="7">
        <f t="shared" si="10"/>
        <v>0</v>
      </c>
    </row>
    <row r="119" spans="1:19" ht="15">
      <c r="A119" s="4" t="s">
        <v>142</v>
      </c>
      <c r="B119" s="109">
        <v>1000</v>
      </c>
      <c r="C119" s="63">
        <v>488.77</v>
      </c>
      <c r="D119" s="109">
        <v>1000</v>
      </c>
      <c r="E119" s="109">
        <v>1000</v>
      </c>
      <c r="F119" s="144">
        <f t="shared" si="11"/>
        <v>0</v>
      </c>
      <c r="G119" s="128">
        <f t="shared" si="15"/>
        <v>81.4</v>
      </c>
      <c r="H119" s="129">
        <f t="shared" si="16"/>
        <v>121.2</v>
      </c>
      <c r="I119" s="91"/>
      <c r="J119" s="130"/>
      <c r="K119" s="130"/>
      <c r="L119" s="130"/>
      <c r="M119" s="130"/>
      <c r="N119" s="130"/>
      <c r="O119" s="130"/>
      <c r="P119" s="130"/>
      <c r="Q119" s="68">
        <v>794</v>
      </c>
      <c r="R119" s="13">
        <f t="shared" si="14"/>
        <v>996.6</v>
      </c>
      <c r="S119" s="7">
        <f t="shared" si="10"/>
        <v>-3.3999999999999773</v>
      </c>
    </row>
    <row r="120" spans="1:19" ht="15">
      <c r="A120" s="4" t="s">
        <v>143</v>
      </c>
      <c r="B120" s="109">
        <v>1500</v>
      </c>
      <c r="C120" s="63">
        <v>904.85</v>
      </c>
      <c r="D120" s="109">
        <v>2000</v>
      </c>
      <c r="E120" s="109">
        <v>2000</v>
      </c>
      <c r="F120" s="144">
        <f t="shared" si="11"/>
        <v>500</v>
      </c>
      <c r="G120" s="128">
        <v>2000</v>
      </c>
      <c r="H120" s="129"/>
      <c r="I120" s="91"/>
      <c r="J120" s="130"/>
      <c r="K120" s="130"/>
      <c r="L120" s="130"/>
      <c r="M120" s="130"/>
      <c r="N120" s="130"/>
      <c r="O120" s="130"/>
      <c r="P120" s="130"/>
      <c r="Q120" s="68"/>
      <c r="R120" s="13">
        <f t="shared" si="14"/>
        <v>2000</v>
      </c>
      <c r="S120" s="7">
        <f t="shared" si="10"/>
        <v>0</v>
      </c>
    </row>
    <row r="121" spans="1:19" ht="15">
      <c r="A121" s="4" t="s">
        <v>144</v>
      </c>
      <c r="B121" s="109">
        <v>12480</v>
      </c>
      <c r="C121" s="64">
        <v>6052.5</v>
      </c>
      <c r="D121" s="109">
        <v>16800</v>
      </c>
      <c r="E121" s="109">
        <v>16800</v>
      </c>
      <c r="F121" s="144">
        <f t="shared" si="11"/>
        <v>4320</v>
      </c>
      <c r="G121" s="128">
        <v>16800</v>
      </c>
      <c r="H121" s="129"/>
      <c r="I121" s="91"/>
      <c r="J121" s="130"/>
      <c r="K121" s="130"/>
      <c r="L121" s="130"/>
      <c r="M121" s="130"/>
      <c r="N121" s="130"/>
      <c r="O121" s="130"/>
      <c r="P121" s="130"/>
      <c r="Q121" s="68"/>
      <c r="R121" s="13">
        <f t="shared" si="14"/>
        <v>16800</v>
      </c>
      <c r="S121" s="7">
        <f t="shared" si="10"/>
        <v>0</v>
      </c>
    </row>
    <row r="122" spans="1:19" ht="15">
      <c r="A122" s="4" t="s">
        <v>145</v>
      </c>
      <c r="B122" s="109">
        <v>3000</v>
      </c>
      <c r="C122" s="64">
        <v>1026.7</v>
      </c>
      <c r="D122" s="109">
        <v>0</v>
      </c>
      <c r="E122" s="109">
        <v>0</v>
      </c>
      <c r="F122" s="144">
        <f t="shared" si="11"/>
        <v>-3000</v>
      </c>
      <c r="G122" s="128">
        <f t="shared" si="15"/>
        <v>0</v>
      </c>
      <c r="H122" s="129">
        <f t="shared" si="16"/>
        <v>0</v>
      </c>
      <c r="I122" s="91"/>
      <c r="J122" s="68"/>
      <c r="K122" s="68"/>
      <c r="L122" s="130"/>
      <c r="M122" s="130"/>
      <c r="N122" s="68"/>
      <c r="O122" s="130"/>
      <c r="P122" s="130"/>
      <c r="Q122" s="68">
        <v>2381</v>
      </c>
      <c r="R122" s="13">
        <f t="shared" si="14"/>
        <v>2381</v>
      </c>
      <c r="S122" s="7">
        <f t="shared" si="10"/>
        <v>2381</v>
      </c>
    </row>
    <row r="123" spans="1:19" ht="15">
      <c r="A123" s="4" t="s">
        <v>175</v>
      </c>
      <c r="B123" s="109">
        <v>2120</v>
      </c>
      <c r="C123" s="63">
        <v>528.7</v>
      </c>
      <c r="D123" s="109">
        <v>4500</v>
      </c>
      <c r="E123" s="109">
        <v>4500</v>
      </c>
      <c r="F123" s="144">
        <f t="shared" si="11"/>
        <v>2380</v>
      </c>
      <c r="G123" s="128">
        <f t="shared" si="15"/>
        <v>366.3</v>
      </c>
      <c r="H123" s="129">
        <f t="shared" si="16"/>
        <v>545.4</v>
      </c>
      <c r="I123" s="91"/>
      <c r="J123" s="130"/>
      <c r="K123" s="130"/>
      <c r="L123" s="109"/>
      <c r="M123" s="109"/>
      <c r="N123" s="109"/>
      <c r="O123" s="130"/>
      <c r="P123" s="130"/>
      <c r="Q123" s="68">
        <v>1683</v>
      </c>
      <c r="R123" s="13">
        <f>SUM(G123:Q123)</f>
        <v>2594.7</v>
      </c>
      <c r="S123" s="7">
        <f>+R123-E123</f>
        <v>-1905.3000000000002</v>
      </c>
    </row>
    <row r="124" spans="1:19" ht="15">
      <c r="A124" s="4" t="s">
        <v>176</v>
      </c>
      <c r="B124" s="109">
        <v>4200</v>
      </c>
      <c r="C124" s="63">
        <v>649.94</v>
      </c>
      <c r="D124" s="109">
        <v>3800</v>
      </c>
      <c r="E124" s="109">
        <v>3800</v>
      </c>
      <c r="F124" s="144">
        <f t="shared" si="11"/>
        <v>-400</v>
      </c>
      <c r="G124" s="128">
        <f t="shared" si="15"/>
        <v>309.32</v>
      </c>
      <c r="H124" s="129">
        <f t="shared" si="16"/>
        <v>460.56</v>
      </c>
      <c r="I124" s="91"/>
      <c r="J124" s="130"/>
      <c r="K124" s="130"/>
      <c r="L124" s="109"/>
      <c r="M124" s="109"/>
      <c r="N124" s="109"/>
      <c r="O124" s="130"/>
      <c r="P124" s="130"/>
      <c r="Q124" s="68">
        <v>3334</v>
      </c>
      <c r="R124" s="13">
        <f>SUM(G124:Q124)</f>
        <v>4103.88</v>
      </c>
      <c r="S124" s="7">
        <f>+R124-E124</f>
        <v>303.8800000000001</v>
      </c>
    </row>
    <row r="125" spans="1:19" ht="15">
      <c r="A125" s="4" t="s">
        <v>146</v>
      </c>
      <c r="B125" s="109">
        <v>3000</v>
      </c>
      <c r="C125" s="63">
        <v>0</v>
      </c>
      <c r="D125" s="109">
        <v>0</v>
      </c>
      <c r="E125" s="109">
        <v>0</v>
      </c>
      <c r="F125" s="144">
        <f t="shared" si="11"/>
        <v>-3000</v>
      </c>
      <c r="G125" s="128">
        <f t="shared" si="15"/>
        <v>0</v>
      </c>
      <c r="H125" s="129">
        <f t="shared" si="16"/>
        <v>0</v>
      </c>
      <c r="I125" s="91"/>
      <c r="J125" s="130"/>
      <c r="K125" s="130"/>
      <c r="L125" s="109"/>
      <c r="M125" s="109"/>
      <c r="N125" s="109"/>
      <c r="O125" s="130"/>
      <c r="P125" s="130"/>
      <c r="Q125" s="68">
        <v>2381</v>
      </c>
      <c r="R125" s="13">
        <f t="shared" si="14"/>
        <v>2381</v>
      </c>
      <c r="S125" s="7">
        <f t="shared" si="10"/>
        <v>2381</v>
      </c>
    </row>
    <row r="126" spans="1:19" ht="15">
      <c r="A126" s="4" t="s">
        <v>147</v>
      </c>
      <c r="B126" s="109">
        <v>11330</v>
      </c>
      <c r="C126" s="68">
        <v>5311.66</v>
      </c>
      <c r="D126" s="109">
        <v>11250</v>
      </c>
      <c r="E126" s="109">
        <v>7522</v>
      </c>
      <c r="F126" s="144">
        <f t="shared" si="11"/>
        <v>-3808</v>
      </c>
      <c r="G126" s="128">
        <f t="shared" si="15"/>
        <v>612.2908</v>
      </c>
      <c r="H126" s="129">
        <f t="shared" si="16"/>
        <v>911.6664000000001</v>
      </c>
      <c r="I126" s="91"/>
      <c r="J126" s="130"/>
      <c r="K126" s="130"/>
      <c r="L126" s="109"/>
      <c r="M126" s="109"/>
      <c r="N126" s="109"/>
      <c r="O126" s="130"/>
      <c r="P126" s="130"/>
      <c r="Q126" s="68">
        <v>8994</v>
      </c>
      <c r="R126" s="13">
        <f t="shared" si="14"/>
        <v>10517.9572</v>
      </c>
      <c r="S126" s="7">
        <f t="shared" si="10"/>
        <v>2995.9572000000007</v>
      </c>
    </row>
    <row r="127" spans="1:19" ht="15">
      <c r="A127" s="4" t="s">
        <v>148</v>
      </c>
      <c r="B127" s="109">
        <v>0</v>
      </c>
      <c r="C127" s="63">
        <v>-306.5</v>
      </c>
      <c r="D127" s="109"/>
      <c r="E127" s="109"/>
      <c r="F127" s="144">
        <f t="shared" si="11"/>
        <v>0</v>
      </c>
      <c r="G127" s="128">
        <f t="shared" si="15"/>
        <v>0</v>
      </c>
      <c r="H127" s="129">
        <f t="shared" si="16"/>
        <v>0</v>
      </c>
      <c r="I127" s="91"/>
      <c r="J127" s="130"/>
      <c r="K127" s="130"/>
      <c r="L127" s="130"/>
      <c r="M127" s="130"/>
      <c r="N127" s="130"/>
      <c r="O127" s="130"/>
      <c r="P127" s="130"/>
      <c r="Q127" s="68"/>
      <c r="R127" s="13">
        <f t="shared" si="14"/>
        <v>0</v>
      </c>
      <c r="S127" s="7">
        <f t="shared" si="10"/>
        <v>0</v>
      </c>
    </row>
    <row r="128" spans="1:19" ht="15">
      <c r="A128" s="46" t="s">
        <v>56</v>
      </c>
      <c r="B128" s="91"/>
      <c r="C128" s="90"/>
      <c r="D128" s="91"/>
      <c r="E128" s="91"/>
      <c r="F128" s="125">
        <f t="shared" si="11"/>
        <v>0</v>
      </c>
      <c r="G128" s="128">
        <f t="shared" si="15"/>
        <v>0</v>
      </c>
      <c r="H128" s="129">
        <f t="shared" si="16"/>
        <v>0</v>
      </c>
      <c r="I128" s="91"/>
      <c r="J128" s="91"/>
      <c r="K128" s="91"/>
      <c r="L128" s="91"/>
      <c r="M128" s="91"/>
      <c r="N128" s="91"/>
      <c r="O128" s="91"/>
      <c r="P128" s="91"/>
      <c r="Q128" s="91"/>
      <c r="R128" s="13">
        <f t="shared" si="14"/>
        <v>0</v>
      </c>
      <c r="S128" s="7">
        <f t="shared" si="10"/>
        <v>0</v>
      </c>
    </row>
    <row r="129" spans="1:19" ht="15">
      <c r="A129" s="4" t="s">
        <v>149</v>
      </c>
      <c r="B129" s="109">
        <v>3000</v>
      </c>
      <c r="C129" s="63">
        <v>280</v>
      </c>
      <c r="D129" s="109">
        <v>500</v>
      </c>
      <c r="E129" s="109">
        <v>500</v>
      </c>
      <c r="F129" s="144">
        <f>+E129-B129</f>
        <v>-2500</v>
      </c>
      <c r="G129" s="128">
        <f t="shared" si="15"/>
        <v>40.7</v>
      </c>
      <c r="H129" s="129">
        <f t="shared" si="16"/>
        <v>60.6</v>
      </c>
      <c r="I129" s="91"/>
      <c r="J129" s="130"/>
      <c r="K129" s="130"/>
      <c r="L129" s="109"/>
      <c r="M129" s="109"/>
      <c r="N129" s="109"/>
      <c r="O129" s="109"/>
      <c r="P129" s="130"/>
      <c r="Q129" s="68">
        <v>2381</v>
      </c>
      <c r="R129" s="13">
        <f t="shared" si="14"/>
        <v>2482.3</v>
      </c>
      <c r="S129" s="7">
        <f t="shared" si="10"/>
        <v>1982.3000000000002</v>
      </c>
    </row>
    <row r="130" spans="1:19" ht="15.75" thickBot="1">
      <c r="A130" s="52" t="s">
        <v>57</v>
      </c>
      <c r="B130" s="112"/>
      <c r="C130" s="65">
        <v>441.6</v>
      </c>
      <c r="D130" s="112"/>
      <c r="E130" s="112"/>
      <c r="F130" s="162">
        <f>+E130-B130</f>
        <v>0</v>
      </c>
      <c r="G130" s="141">
        <f>+E130*0.0861</f>
        <v>0</v>
      </c>
      <c r="H130" s="186">
        <f>+E130*0.1201</f>
        <v>0</v>
      </c>
      <c r="I130" s="111"/>
      <c r="J130" s="148"/>
      <c r="K130" s="148"/>
      <c r="L130" s="148"/>
      <c r="M130" s="148"/>
      <c r="N130" s="148"/>
      <c r="O130" s="148"/>
      <c r="P130" s="148"/>
      <c r="Q130" s="163"/>
      <c r="R130" s="13">
        <f t="shared" si="14"/>
        <v>0</v>
      </c>
      <c r="S130" s="7"/>
    </row>
    <row r="131" spans="1:19" ht="15.75" thickBot="1">
      <c r="A131" s="48" t="s">
        <v>6</v>
      </c>
      <c r="B131" s="57">
        <f>SUM(B65:B130)</f>
        <v>749365</v>
      </c>
      <c r="C131" s="164">
        <f aca="true" t="shared" si="17" ref="C131:Q131">SUM(C65:C130)</f>
        <v>333167.85599999997</v>
      </c>
      <c r="D131" s="57">
        <f t="shared" si="17"/>
        <v>823523.4481068001</v>
      </c>
      <c r="E131" s="57">
        <f t="shared" si="17"/>
        <v>785872.2737799999</v>
      </c>
      <c r="F131" s="166">
        <f t="shared" si="17"/>
        <v>36507.27377999996</v>
      </c>
      <c r="G131" s="86">
        <f t="shared" si="17"/>
        <v>191567.61910000004</v>
      </c>
      <c r="H131" s="79">
        <f t="shared" si="17"/>
        <v>180898.11012000006</v>
      </c>
      <c r="I131" s="40">
        <f t="shared" si="17"/>
        <v>0</v>
      </c>
      <c r="J131" s="57">
        <f t="shared" si="17"/>
        <v>0</v>
      </c>
      <c r="K131" s="57">
        <f t="shared" si="17"/>
        <v>0</v>
      </c>
      <c r="L131" s="57">
        <f t="shared" si="17"/>
        <v>0</v>
      </c>
      <c r="M131" s="57">
        <f t="shared" si="17"/>
        <v>0</v>
      </c>
      <c r="N131" s="57">
        <f t="shared" si="17"/>
        <v>0</v>
      </c>
      <c r="O131" s="57">
        <f t="shared" si="17"/>
        <v>0</v>
      </c>
      <c r="P131" s="57">
        <f t="shared" si="17"/>
        <v>0</v>
      </c>
      <c r="Q131" s="57">
        <f t="shared" si="17"/>
        <v>412430</v>
      </c>
      <c r="R131" s="15">
        <f>SUM(G131:Q131)-1</f>
        <v>784894.7292200001</v>
      </c>
      <c r="S131" s="7">
        <f>+R131-E131</f>
        <v>-977.5445599998347</v>
      </c>
    </row>
    <row r="132" spans="1:18" ht="18">
      <c r="A132" s="69"/>
      <c r="B132" s="104" t="s">
        <v>61</v>
      </c>
      <c r="C132" s="104" t="s">
        <v>105</v>
      </c>
      <c r="D132" s="104" t="s">
        <v>61</v>
      </c>
      <c r="E132" s="104" t="s">
        <v>61</v>
      </c>
      <c r="F132" s="118" t="s">
        <v>113</v>
      </c>
      <c r="G132" s="87" t="s">
        <v>63</v>
      </c>
      <c r="H132" s="80" t="s">
        <v>64</v>
      </c>
      <c r="I132" s="58" t="s">
        <v>66</v>
      </c>
      <c r="J132" s="59" t="s">
        <v>65</v>
      </c>
      <c r="K132" s="59" t="s">
        <v>67</v>
      </c>
      <c r="L132" s="59" t="s">
        <v>68</v>
      </c>
      <c r="M132" s="59" t="s">
        <v>69</v>
      </c>
      <c r="N132" s="59" t="s">
        <v>70</v>
      </c>
      <c r="O132" s="59" t="s">
        <v>71</v>
      </c>
      <c r="P132" s="59" t="s">
        <v>72</v>
      </c>
      <c r="Q132" s="59" t="s">
        <v>114</v>
      </c>
      <c r="R132" s="7"/>
    </row>
    <row r="133" spans="1:18" ht="18.75" thickBot="1">
      <c r="A133" s="72"/>
      <c r="B133" s="106" t="str">
        <f>+B4</f>
        <v>2019-2020</v>
      </c>
      <c r="C133" s="105" t="str">
        <f>+C4</f>
        <v>Jul-Dec</v>
      </c>
      <c r="D133" s="106" t="str">
        <f>+D4</f>
        <v>2020-2021</v>
      </c>
      <c r="E133" s="106" t="str">
        <f>+E4</f>
        <v>2020-2021</v>
      </c>
      <c r="F133" s="119" t="s">
        <v>112</v>
      </c>
      <c r="G133" s="84" t="s">
        <v>73</v>
      </c>
      <c r="H133" s="77" t="s">
        <v>74</v>
      </c>
      <c r="I133" s="39" t="s">
        <v>74</v>
      </c>
      <c r="J133" s="8" t="s">
        <v>74</v>
      </c>
      <c r="K133" s="8" t="s">
        <v>74</v>
      </c>
      <c r="L133" s="8" t="s">
        <v>75</v>
      </c>
      <c r="M133" s="8" t="s">
        <v>75</v>
      </c>
      <c r="N133" s="8" t="s">
        <v>75</v>
      </c>
      <c r="O133" s="8" t="s">
        <v>76</v>
      </c>
      <c r="P133" s="8" t="s">
        <v>74</v>
      </c>
      <c r="Q133" s="8" t="s">
        <v>75</v>
      </c>
      <c r="R133" s="9" t="s">
        <v>116</v>
      </c>
    </row>
    <row r="134" spans="1:19" ht="15">
      <c r="A134" s="73" t="s">
        <v>58</v>
      </c>
      <c r="B134" s="18">
        <f>B59</f>
        <v>749365</v>
      </c>
      <c r="C134" s="18">
        <f>C59</f>
        <v>385784.11000000004</v>
      </c>
      <c r="D134" s="18">
        <f>D59</f>
        <v>823523</v>
      </c>
      <c r="E134" s="18">
        <f>E59</f>
        <v>785872</v>
      </c>
      <c r="F134" s="157">
        <f>+E134-B134</f>
        <v>36507</v>
      </c>
      <c r="G134" s="86">
        <f aca="true" t="shared" si="18" ref="G134:R134">G59</f>
        <v>190480</v>
      </c>
      <c r="H134" s="79">
        <f t="shared" si="18"/>
        <v>180081</v>
      </c>
      <c r="I134" s="40">
        <f t="shared" si="18"/>
        <v>0</v>
      </c>
      <c r="J134" s="18">
        <f t="shared" si="18"/>
        <v>0</v>
      </c>
      <c r="K134" s="18">
        <f t="shared" si="18"/>
        <v>0</v>
      </c>
      <c r="L134" s="18">
        <f t="shared" si="18"/>
        <v>0</v>
      </c>
      <c r="M134" s="18">
        <f t="shared" si="18"/>
        <v>0</v>
      </c>
      <c r="N134" s="18">
        <f t="shared" si="18"/>
        <v>0</v>
      </c>
      <c r="O134" s="18">
        <f t="shared" si="18"/>
        <v>0</v>
      </c>
      <c r="P134" s="18">
        <f t="shared" si="18"/>
        <v>0</v>
      </c>
      <c r="Q134" s="18">
        <f t="shared" si="18"/>
        <v>420150</v>
      </c>
      <c r="R134" s="18">
        <f t="shared" si="18"/>
        <v>790711</v>
      </c>
      <c r="S134" s="7">
        <f>+R134-E134</f>
        <v>4839</v>
      </c>
    </row>
    <row r="135" spans="1:19" ht="15.75" thickBot="1">
      <c r="A135" s="73" t="s">
        <v>59</v>
      </c>
      <c r="B135" s="19">
        <f>B131</f>
        <v>749365</v>
      </c>
      <c r="C135" s="19">
        <f>C131</f>
        <v>333167.85599999997</v>
      </c>
      <c r="D135" s="19">
        <f>D131</f>
        <v>823523.4481068001</v>
      </c>
      <c r="E135" s="19">
        <f>E131</f>
        <v>785872.2737799999</v>
      </c>
      <c r="F135" s="170">
        <f>+E135-B135</f>
        <v>36507.27377999993</v>
      </c>
      <c r="G135" s="88">
        <f aca="true" t="shared" si="19" ref="G135:R135">G131</f>
        <v>191567.61910000004</v>
      </c>
      <c r="H135" s="81">
        <f t="shared" si="19"/>
        <v>180898.11012000006</v>
      </c>
      <c r="I135" s="41">
        <f t="shared" si="19"/>
        <v>0</v>
      </c>
      <c r="J135" s="19">
        <f>J131</f>
        <v>0</v>
      </c>
      <c r="K135" s="19">
        <f t="shared" si="19"/>
        <v>0</v>
      </c>
      <c r="L135" s="19">
        <f t="shared" si="19"/>
        <v>0</v>
      </c>
      <c r="M135" s="19">
        <f t="shared" si="19"/>
        <v>0</v>
      </c>
      <c r="N135" s="19">
        <f t="shared" si="19"/>
        <v>0</v>
      </c>
      <c r="O135" s="19">
        <f t="shared" si="19"/>
        <v>0</v>
      </c>
      <c r="P135" s="19">
        <f t="shared" si="19"/>
        <v>0</v>
      </c>
      <c r="Q135" s="19">
        <f>Q131</f>
        <v>412430</v>
      </c>
      <c r="R135" s="19">
        <f t="shared" si="19"/>
        <v>784894.7292200001</v>
      </c>
      <c r="S135" s="7">
        <f>+R135-E135</f>
        <v>-977.5445599998347</v>
      </c>
    </row>
    <row r="136" spans="1:19" ht="15.75" thickBot="1">
      <c r="A136" s="74" t="s">
        <v>60</v>
      </c>
      <c r="B136" s="114">
        <f aca="true" t="shared" si="20" ref="B136:J136">+B134-B135</f>
        <v>0</v>
      </c>
      <c r="C136" s="114">
        <f t="shared" si="20"/>
        <v>52616.25400000007</v>
      </c>
      <c r="D136" s="114">
        <f t="shared" si="20"/>
        <v>-0.44810680008959025</v>
      </c>
      <c r="E136" s="114">
        <f t="shared" si="20"/>
        <v>-0.2737799999304116</v>
      </c>
      <c r="F136" s="172">
        <f t="shared" si="20"/>
        <v>-0.2737799999304116</v>
      </c>
      <c r="G136" s="89">
        <f t="shared" si="20"/>
        <v>-1087.61910000004</v>
      </c>
      <c r="H136" s="82">
        <f t="shared" si="20"/>
        <v>-817.1101200000558</v>
      </c>
      <c r="I136" s="42">
        <f t="shared" si="20"/>
        <v>0</v>
      </c>
      <c r="J136" s="20">
        <f t="shared" si="20"/>
        <v>0</v>
      </c>
      <c r="K136" s="20">
        <f aca="true" t="shared" si="21" ref="K136:P136">+K134-K135</f>
        <v>0</v>
      </c>
      <c r="L136" s="20">
        <f t="shared" si="21"/>
        <v>0</v>
      </c>
      <c r="M136" s="20">
        <f t="shared" si="21"/>
        <v>0</v>
      </c>
      <c r="N136" s="20">
        <f t="shared" si="21"/>
        <v>0</v>
      </c>
      <c r="O136" s="20">
        <f t="shared" si="21"/>
        <v>0</v>
      </c>
      <c r="P136" s="20">
        <f t="shared" si="21"/>
        <v>0</v>
      </c>
      <c r="Q136" s="20">
        <f>+Q134-Q135</f>
        <v>7720</v>
      </c>
      <c r="R136" s="20">
        <f>+R134-R135</f>
        <v>5816.270779999904</v>
      </c>
      <c r="S136" s="7">
        <f>+R136-E136</f>
        <v>5816.544559999835</v>
      </c>
    </row>
    <row r="137" ht="14.25">
      <c r="B137" s="173"/>
    </row>
    <row r="138" spans="7:8" ht="14.25">
      <c r="G138">
        <v>90332</v>
      </c>
      <c r="H138">
        <v>73022</v>
      </c>
    </row>
    <row r="140" spans="7:8" ht="14.25">
      <c r="G140">
        <v>160398</v>
      </c>
      <c r="H140">
        <v>165943</v>
      </c>
    </row>
    <row r="141" ht="14.25">
      <c r="B141" s="174"/>
    </row>
    <row r="142" ht="14.25">
      <c r="B142" s="174"/>
    </row>
    <row r="143" ht="14.25">
      <c r="B143" s="174"/>
    </row>
    <row r="144" ht="14.25">
      <c r="B144" s="174"/>
    </row>
    <row r="170" spans="1:19" s="7" customFormat="1" ht="14.25">
      <c r="A170"/>
      <c r="B170" s="174"/>
      <c r="D170" s="103"/>
      <c r="E170" s="103"/>
      <c r="F170" s="103"/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1:19" s="7" customFormat="1" ht="14.25">
      <c r="A171"/>
      <c r="B171" s="174"/>
      <c r="D171" s="103"/>
      <c r="E171" s="103"/>
      <c r="F171" s="103"/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1:19" s="7" customFormat="1" ht="14.25">
      <c r="A172"/>
      <c r="B172" s="174"/>
      <c r="D172" s="103"/>
      <c r="E172" s="103"/>
      <c r="F172" s="103"/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1:19" s="7" customFormat="1" ht="14.25">
      <c r="A173"/>
      <c r="B173" s="174"/>
      <c r="D173" s="103"/>
      <c r="E173" s="103"/>
      <c r="F173" s="103"/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1:19" s="7" customFormat="1" ht="14.25">
      <c r="A174"/>
      <c r="B174" s="174"/>
      <c r="D174" s="103"/>
      <c r="E174" s="103"/>
      <c r="F174" s="103"/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1:19" s="7" customFormat="1" ht="14.25">
      <c r="A175"/>
      <c r="B175" s="174"/>
      <c r="D175" s="103"/>
      <c r="E175" s="103"/>
      <c r="F175" s="103"/>
      <c r="G175"/>
      <c r="H175"/>
      <c r="I175"/>
      <c r="J175"/>
      <c r="K175"/>
      <c r="L175"/>
      <c r="M175"/>
      <c r="N175"/>
      <c r="O175"/>
      <c r="P175"/>
      <c r="Q175"/>
      <c r="R175"/>
      <c r="S175"/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scale="70" r:id="rId1"/>
  <headerFooter alignWithMargins="0">
    <oddFooter>&amp;L&amp;Z&amp;F&amp;R&amp;"Arial,Bold"Page&amp;P</oddFooter>
  </headerFooter>
  <rowBreaks count="2" manualBreakCount="2">
    <brk id="60" max="7" man="1"/>
    <brk id="11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76"/>
  <sheetViews>
    <sheetView view="pageBreakPreview" zoomScaleSheetLayoutView="100" zoomScalePageLayoutView="0" workbookViewId="0" topLeftCell="A1">
      <pane xSplit="1" ySplit="4" topLeftCell="B104" activePane="bottomRight" state="frozen"/>
      <selection pane="topLeft" activeCell="K112" sqref="K112"/>
      <selection pane="topRight" activeCell="K112" sqref="K112"/>
      <selection pane="bottomLeft" activeCell="K112" sqref="K112"/>
      <selection pane="bottomRight" activeCell="B91" sqref="B91"/>
    </sheetView>
  </sheetViews>
  <sheetFormatPr defaultColWidth="9.140625" defaultRowHeight="12.75"/>
  <cols>
    <col min="1" max="1" width="34.421875" style="0" customWidth="1"/>
    <col min="2" max="2" width="13.140625" style="3" customWidth="1"/>
    <col min="3" max="3" width="13.7109375" style="7" hidden="1" customWidth="1"/>
    <col min="4" max="6" width="13.7109375" style="103" customWidth="1"/>
    <col min="7" max="7" width="14.7109375" style="0" hidden="1" customWidth="1"/>
    <col min="8" max="8" width="13.7109375" style="0" hidden="1" customWidth="1"/>
    <col min="9" max="10" width="11.00390625" style="0" hidden="1" customWidth="1"/>
    <col min="11" max="11" width="12.421875" style="0" hidden="1" customWidth="1"/>
    <col min="12" max="12" width="11.7109375" style="0" hidden="1" customWidth="1"/>
    <col min="13" max="13" width="16.28125" style="0" hidden="1" customWidth="1"/>
    <col min="14" max="14" width="14.00390625" style="0" hidden="1" customWidth="1"/>
    <col min="15" max="15" width="13.28125" style="0" hidden="1" customWidth="1"/>
    <col min="16" max="16" width="11.7109375" style="0" hidden="1" customWidth="1"/>
    <col min="17" max="17" width="13.8515625" style="0" hidden="1" customWidth="1"/>
    <col min="18" max="18" width="13.28125" style="0" hidden="1" customWidth="1"/>
    <col min="19" max="19" width="10.57421875" style="0" hidden="1" customWidth="1"/>
  </cols>
  <sheetData>
    <row r="1" spans="1:3" ht="18">
      <c r="A1" s="1" t="s">
        <v>77</v>
      </c>
      <c r="B1" s="115"/>
      <c r="C1" s="62"/>
    </row>
    <row r="2" spans="1:5" ht="18.75" thickBot="1">
      <c r="A2" s="189" t="s">
        <v>203</v>
      </c>
      <c r="B2" s="190"/>
      <c r="C2" s="190"/>
      <c r="D2" s="190"/>
      <c r="E2" s="190"/>
    </row>
    <row r="3" spans="1:18" ht="18">
      <c r="A3" s="69"/>
      <c r="B3" s="104" t="s">
        <v>123</v>
      </c>
      <c r="C3" s="104" t="s">
        <v>105</v>
      </c>
      <c r="D3" s="104" t="s">
        <v>201</v>
      </c>
      <c r="E3" s="104" t="s">
        <v>202</v>
      </c>
      <c r="F3" s="118" t="s">
        <v>113</v>
      </c>
      <c r="G3" s="83" t="s">
        <v>63</v>
      </c>
      <c r="H3" s="76" t="s">
        <v>64</v>
      </c>
      <c r="I3" s="38" t="s">
        <v>66</v>
      </c>
      <c r="J3" s="6" t="s">
        <v>65</v>
      </c>
      <c r="K3" s="6" t="s">
        <v>67</v>
      </c>
      <c r="L3" s="6" t="s">
        <v>68</v>
      </c>
      <c r="M3" s="6" t="s">
        <v>69</v>
      </c>
      <c r="N3" s="6" t="s">
        <v>70</v>
      </c>
      <c r="O3" s="6" t="s">
        <v>71</v>
      </c>
      <c r="P3" s="6" t="s">
        <v>72</v>
      </c>
      <c r="Q3" s="6" t="s">
        <v>114</v>
      </c>
      <c r="R3" s="7"/>
    </row>
    <row r="4" spans="1:18" ht="18.75" thickBot="1">
      <c r="A4" s="2"/>
      <c r="B4" s="106" t="s">
        <v>179</v>
      </c>
      <c r="C4" s="106" t="s">
        <v>111</v>
      </c>
      <c r="D4" s="106" t="s">
        <v>188</v>
      </c>
      <c r="E4" s="106" t="s">
        <v>188</v>
      </c>
      <c r="F4" s="119" t="s">
        <v>112</v>
      </c>
      <c r="G4" s="84" t="s">
        <v>73</v>
      </c>
      <c r="H4" s="77" t="s">
        <v>74</v>
      </c>
      <c r="I4" s="39" t="s">
        <v>74</v>
      </c>
      <c r="J4" s="8" t="s">
        <v>74</v>
      </c>
      <c r="K4" s="8" t="s">
        <v>74</v>
      </c>
      <c r="L4" s="8" t="s">
        <v>75</v>
      </c>
      <c r="M4" s="8" t="s">
        <v>75</v>
      </c>
      <c r="N4" s="8" t="s">
        <v>75</v>
      </c>
      <c r="O4" s="8" t="s">
        <v>76</v>
      </c>
      <c r="P4" s="8" t="s">
        <v>74</v>
      </c>
      <c r="Q4" s="8" t="s">
        <v>75</v>
      </c>
      <c r="R4" s="9" t="s">
        <v>116</v>
      </c>
    </row>
    <row r="5" spans="1:18" ht="18.75" thickBot="1">
      <c r="A5" s="56" t="s">
        <v>0</v>
      </c>
      <c r="B5" s="120"/>
      <c r="C5" s="121"/>
      <c r="D5" s="120"/>
      <c r="E5" s="120"/>
      <c r="F5" s="123"/>
      <c r="G5" s="85"/>
      <c r="H5" s="78"/>
      <c r="I5" s="53"/>
      <c r="J5" s="54"/>
      <c r="K5" s="54"/>
      <c r="L5" s="54"/>
      <c r="M5" s="54"/>
      <c r="N5" s="54"/>
      <c r="O5" s="54"/>
      <c r="P5" s="54"/>
      <c r="Q5" s="54"/>
      <c r="R5" s="55"/>
    </row>
    <row r="6" spans="1:18" ht="15">
      <c r="A6" s="46" t="s">
        <v>1</v>
      </c>
      <c r="B6" s="91"/>
      <c r="C6" s="91"/>
      <c r="D6" s="91"/>
      <c r="E6" s="91"/>
      <c r="F6" s="125"/>
      <c r="G6" s="86"/>
      <c r="H6" s="79"/>
      <c r="I6" s="40"/>
      <c r="J6" s="40"/>
      <c r="K6" s="40"/>
      <c r="L6" s="40"/>
      <c r="M6" s="40"/>
      <c r="N6" s="40"/>
      <c r="O6" s="40"/>
      <c r="P6" s="40"/>
      <c r="Q6" s="40"/>
      <c r="R6" s="10"/>
    </row>
    <row r="7" spans="1:19" ht="15">
      <c r="A7" s="47" t="s">
        <v>2</v>
      </c>
      <c r="B7" s="68">
        <v>459500</v>
      </c>
      <c r="C7" s="63">
        <v>229750</v>
      </c>
      <c r="D7" s="68">
        <v>492000</v>
      </c>
      <c r="E7" s="68">
        <v>397859</v>
      </c>
      <c r="F7" s="127">
        <f>+E7-B7</f>
        <v>-61641</v>
      </c>
      <c r="G7" s="128">
        <v>108880</v>
      </c>
      <c r="H7" s="129">
        <v>76481</v>
      </c>
      <c r="I7" s="91"/>
      <c r="J7" s="68"/>
      <c r="K7" s="130"/>
      <c r="L7" s="68"/>
      <c r="M7" s="68"/>
      <c r="N7" s="68"/>
      <c r="O7" s="68"/>
      <c r="P7" s="68"/>
      <c r="Q7" s="68">
        <v>286462</v>
      </c>
      <c r="R7" s="11">
        <f aca="true" t="shared" si="0" ref="R7:R77">SUM(G7:Q7)</f>
        <v>471823</v>
      </c>
      <c r="S7" s="7">
        <f aca="true" t="shared" si="1" ref="S7:S61">+R7-E7</f>
        <v>73964</v>
      </c>
    </row>
    <row r="8" spans="1:19" ht="15">
      <c r="A8" s="47" t="s">
        <v>3</v>
      </c>
      <c r="B8" s="68">
        <v>35000</v>
      </c>
      <c r="C8" s="63">
        <v>16500</v>
      </c>
      <c r="D8" s="68">
        <v>40000</v>
      </c>
      <c r="E8" s="68">
        <v>28249</v>
      </c>
      <c r="F8" s="127">
        <f>+E8-B8</f>
        <v>-6751</v>
      </c>
      <c r="G8" s="128">
        <v>15000</v>
      </c>
      <c r="H8" s="129">
        <v>25000</v>
      </c>
      <c r="I8" s="91"/>
      <c r="J8" s="130"/>
      <c r="K8" s="130"/>
      <c r="L8" s="130"/>
      <c r="M8" s="130"/>
      <c r="N8" s="130"/>
      <c r="O8" s="130"/>
      <c r="P8" s="130"/>
      <c r="Q8" s="68"/>
      <c r="R8" s="7">
        <f t="shared" si="0"/>
        <v>40000</v>
      </c>
      <c r="S8" s="7">
        <f t="shared" si="1"/>
        <v>11751</v>
      </c>
    </row>
    <row r="9" spans="1:19" ht="15">
      <c r="A9" s="47" t="s">
        <v>4</v>
      </c>
      <c r="B9" s="109">
        <v>20050</v>
      </c>
      <c r="C9" s="63">
        <v>10026</v>
      </c>
      <c r="D9" s="109">
        <v>20050</v>
      </c>
      <c r="E9" s="109">
        <v>20050</v>
      </c>
      <c r="F9" s="127">
        <f>+E9-B9</f>
        <v>0</v>
      </c>
      <c r="G9" s="128"/>
      <c r="H9" s="129"/>
      <c r="I9" s="91"/>
      <c r="J9" s="130"/>
      <c r="K9" s="130"/>
      <c r="L9" s="68"/>
      <c r="M9" s="68"/>
      <c r="N9" s="68"/>
      <c r="O9" s="68"/>
      <c r="P9" s="130"/>
      <c r="Q9" s="68">
        <v>20050</v>
      </c>
      <c r="R9" s="7">
        <f t="shared" si="0"/>
        <v>20050</v>
      </c>
      <c r="S9" s="7">
        <f t="shared" si="1"/>
        <v>0</v>
      </c>
    </row>
    <row r="10" spans="1:19" ht="15">
      <c r="A10" s="4" t="s">
        <v>109</v>
      </c>
      <c r="B10" s="109">
        <v>5000</v>
      </c>
      <c r="C10" s="63"/>
      <c r="D10" s="109">
        <v>5000</v>
      </c>
      <c r="E10" s="109">
        <v>5000</v>
      </c>
      <c r="F10" s="127">
        <f>+E10-B10</f>
        <v>0</v>
      </c>
      <c r="G10" s="128"/>
      <c r="H10" s="129"/>
      <c r="I10" s="91"/>
      <c r="J10" s="130"/>
      <c r="K10" s="130"/>
      <c r="L10" s="130"/>
      <c r="M10" s="68"/>
      <c r="N10" s="68"/>
      <c r="O10" s="130"/>
      <c r="P10" s="130"/>
      <c r="Q10" s="68"/>
      <c r="R10" s="7">
        <f t="shared" si="0"/>
        <v>0</v>
      </c>
      <c r="S10" s="7">
        <f t="shared" si="1"/>
        <v>-5000</v>
      </c>
    </row>
    <row r="11" spans="1:19" ht="15">
      <c r="A11" s="4" t="s">
        <v>5</v>
      </c>
      <c r="B11" s="109">
        <v>12550</v>
      </c>
      <c r="C11" s="64">
        <v>6279</v>
      </c>
      <c r="D11" s="109">
        <v>12550</v>
      </c>
      <c r="E11" s="109">
        <v>12550</v>
      </c>
      <c r="F11" s="127">
        <f>+E11-B11</f>
        <v>0</v>
      </c>
      <c r="G11" s="128"/>
      <c r="H11" s="129"/>
      <c r="I11" s="91"/>
      <c r="J11" s="130"/>
      <c r="K11" s="130"/>
      <c r="L11" s="68"/>
      <c r="M11" s="68"/>
      <c r="N11" s="68"/>
      <c r="O11" s="68"/>
      <c r="P11" s="130"/>
      <c r="Q11" s="68">
        <v>12550</v>
      </c>
      <c r="R11" s="7">
        <f t="shared" si="0"/>
        <v>12550</v>
      </c>
      <c r="S11" s="7">
        <f t="shared" si="1"/>
        <v>0</v>
      </c>
    </row>
    <row r="12" spans="1:19" ht="15.75" thickBot="1">
      <c r="A12" s="4" t="s">
        <v>207</v>
      </c>
      <c r="B12" s="109"/>
      <c r="C12" s="126"/>
      <c r="D12" s="109"/>
      <c r="E12" s="109">
        <v>52417</v>
      </c>
      <c r="F12" s="127"/>
      <c r="G12" s="128"/>
      <c r="H12" s="129"/>
      <c r="I12" s="91"/>
      <c r="J12" s="130"/>
      <c r="K12" s="130"/>
      <c r="L12" s="68"/>
      <c r="M12" s="68"/>
      <c r="N12" s="68"/>
      <c r="O12" s="68"/>
      <c r="P12" s="130"/>
      <c r="Q12" s="68"/>
      <c r="R12" s="7"/>
      <c r="S12" s="7"/>
    </row>
    <row r="13" spans="1:19" ht="15.75" thickBot="1">
      <c r="A13" s="48" t="s">
        <v>6</v>
      </c>
      <c r="B13" s="110">
        <f>SUM(B7:B11)</f>
        <v>532100</v>
      </c>
      <c r="C13" s="43">
        <f aca="true" t="shared" si="2" ref="C13:Q13">SUM(C7:C11)</f>
        <v>262555</v>
      </c>
      <c r="D13" s="110">
        <f t="shared" si="2"/>
        <v>569600</v>
      </c>
      <c r="E13" s="110">
        <f>SUM(E7:E12)</f>
        <v>516125</v>
      </c>
      <c r="F13" s="132">
        <f t="shared" si="2"/>
        <v>-68392</v>
      </c>
      <c r="G13" s="133">
        <f t="shared" si="2"/>
        <v>123880</v>
      </c>
      <c r="H13" s="134">
        <f t="shared" si="2"/>
        <v>101481</v>
      </c>
      <c r="I13" s="135">
        <f t="shared" si="2"/>
        <v>0</v>
      </c>
      <c r="J13" s="136">
        <f t="shared" si="2"/>
        <v>0</v>
      </c>
      <c r="K13" s="136">
        <f t="shared" si="2"/>
        <v>0</v>
      </c>
      <c r="L13" s="136">
        <f t="shared" si="2"/>
        <v>0</v>
      </c>
      <c r="M13" s="136">
        <f t="shared" si="2"/>
        <v>0</v>
      </c>
      <c r="N13" s="136">
        <f t="shared" si="2"/>
        <v>0</v>
      </c>
      <c r="O13" s="136">
        <f t="shared" si="2"/>
        <v>0</v>
      </c>
      <c r="P13" s="136">
        <f t="shared" si="2"/>
        <v>0</v>
      </c>
      <c r="Q13" s="110">
        <f t="shared" si="2"/>
        <v>319062</v>
      </c>
      <c r="R13" s="12">
        <f t="shared" si="0"/>
        <v>544423</v>
      </c>
      <c r="S13" s="7">
        <f t="shared" si="1"/>
        <v>28298</v>
      </c>
    </row>
    <row r="14" spans="1:19" ht="15">
      <c r="A14" s="46" t="s">
        <v>7</v>
      </c>
      <c r="B14" s="91"/>
      <c r="C14" s="137"/>
      <c r="D14" s="91"/>
      <c r="E14" s="91"/>
      <c r="F14" s="125"/>
      <c r="G14" s="128"/>
      <c r="H14" s="129"/>
      <c r="I14" s="91"/>
      <c r="J14" s="91"/>
      <c r="K14" s="91"/>
      <c r="L14" s="91"/>
      <c r="M14" s="91"/>
      <c r="N14" s="91"/>
      <c r="O14" s="91"/>
      <c r="P14" s="91"/>
      <c r="Q14" s="91"/>
      <c r="R14" s="13">
        <f t="shared" si="0"/>
        <v>0</v>
      </c>
      <c r="S14" s="7">
        <f t="shared" si="1"/>
        <v>0</v>
      </c>
    </row>
    <row r="15" spans="1:19" ht="15">
      <c r="A15" s="46" t="s">
        <v>8</v>
      </c>
      <c r="B15" s="91"/>
      <c r="C15" s="137"/>
      <c r="D15" s="91"/>
      <c r="E15" s="91"/>
      <c r="F15" s="125"/>
      <c r="G15" s="128"/>
      <c r="H15" s="129"/>
      <c r="I15" s="91"/>
      <c r="J15" s="91"/>
      <c r="K15" s="91"/>
      <c r="L15" s="91"/>
      <c r="M15" s="91"/>
      <c r="N15" s="91"/>
      <c r="O15" s="91"/>
      <c r="P15" s="91"/>
      <c r="Q15" s="91"/>
      <c r="R15" s="13">
        <f t="shared" si="0"/>
        <v>0</v>
      </c>
      <c r="S15" s="7">
        <f t="shared" si="1"/>
        <v>0</v>
      </c>
    </row>
    <row r="16" spans="1:19" ht="15.75" thickBot="1">
      <c r="A16" s="46" t="s">
        <v>9</v>
      </c>
      <c r="B16" s="111"/>
      <c r="C16" s="138"/>
      <c r="D16" s="111"/>
      <c r="E16" s="111"/>
      <c r="F16" s="140"/>
      <c r="G16" s="141"/>
      <c r="H16" s="142"/>
      <c r="I16" s="111"/>
      <c r="J16" s="111"/>
      <c r="K16" s="111"/>
      <c r="L16" s="111"/>
      <c r="M16" s="111"/>
      <c r="N16" s="111"/>
      <c r="O16" s="111"/>
      <c r="P16" s="111"/>
      <c r="Q16" s="143"/>
      <c r="R16" s="14">
        <f t="shared" si="0"/>
        <v>0</v>
      </c>
      <c r="S16" s="7">
        <f t="shared" si="1"/>
        <v>0</v>
      </c>
    </row>
    <row r="17" spans="1:19" ht="15">
      <c r="A17" s="4" t="s">
        <v>99</v>
      </c>
      <c r="B17" s="109"/>
      <c r="C17" s="66"/>
      <c r="D17" s="109"/>
      <c r="E17" s="109"/>
      <c r="F17" s="127"/>
      <c r="G17" s="128"/>
      <c r="H17" s="129"/>
      <c r="I17" s="91"/>
      <c r="J17" s="130"/>
      <c r="K17" s="130"/>
      <c r="L17" s="130"/>
      <c r="M17" s="130"/>
      <c r="N17" s="130"/>
      <c r="O17" s="130"/>
      <c r="P17" s="130"/>
      <c r="Q17" s="68">
        <v>0</v>
      </c>
      <c r="R17" s="7">
        <f t="shared" si="0"/>
        <v>0</v>
      </c>
      <c r="S17" s="7">
        <f t="shared" si="1"/>
        <v>0</v>
      </c>
    </row>
    <row r="18" spans="1:19" ht="15">
      <c r="A18" s="4" t="s">
        <v>100</v>
      </c>
      <c r="B18" s="109"/>
      <c r="C18" s="64"/>
      <c r="D18" s="109"/>
      <c r="E18" s="109"/>
      <c r="F18" s="127">
        <f aca="true" t="shared" si="3" ref="F18:F23">+E18-D18</f>
        <v>0</v>
      </c>
      <c r="G18" s="128"/>
      <c r="H18" s="129"/>
      <c r="I18" s="91"/>
      <c r="J18" s="130"/>
      <c r="K18" s="130"/>
      <c r="L18" s="130"/>
      <c r="M18" s="130"/>
      <c r="N18" s="130"/>
      <c r="O18" s="130"/>
      <c r="P18" s="130"/>
      <c r="Q18" s="68">
        <f>+E18-G18-H18</f>
        <v>0</v>
      </c>
      <c r="R18" s="7">
        <f t="shared" si="0"/>
        <v>0</v>
      </c>
      <c r="S18" s="7">
        <f t="shared" si="1"/>
        <v>0</v>
      </c>
    </row>
    <row r="19" spans="1:19" ht="15">
      <c r="A19" s="4" t="s">
        <v>115</v>
      </c>
      <c r="B19" s="109"/>
      <c r="C19" s="64"/>
      <c r="D19" s="109"/>
      <c r="E19" s="109"/>
      <c r="F19" s="127">
        <f t="shared" si="3"/>
        <v>0</v>
      </c>
      <c r="G19" s="128"/>
      <c r="H19" s="129"/>
      <c r="I19" s="91"/>
      <c r="J19" s="130"/>
      <c r="K19" s="130"/>
      <c r="L19" s="130"/>
      <c r="M19" s="130"/>
      <c r="N19" s="130"/>
      <c r="O19" s="130"/>
      <c r="P19" s="130"/>
      <c r="Q19" s="68">
        <f>+E19-G19-H19</f>
        <v>0</v>
      </c>
      <c r="R19" s="7">
        <f t="shared" si="0"/>
        <v>0</v>
      </c>
      <c r="S19" s="7">
        <f t="shared" si="1"/>
        <v>0</v>
      </c>
    </row>
    <row r="20" spans="1:19" ht="15">
      <c r="A20" s="4" t="s">
        <v>101</v>
      </c>
      <c r="B20" s="109"/>
      <c r="C20" s="64"/>
      <c r="D20" s="109"/>
      <c r="E20" s="109"/>
      <c r="F20" s="127">
        <f t="shared" si="3"/>
        <v>0</v>
      </c>
      <c r="G20" s="128"/>
      <c r="H20" s="129"/>
      <c r="I20" s="91"/>
      <c r="J20" s="130"/>
      <c r="K20" s="130"/>
      <c r="L20" s="130"/>
      <c r="M20" s="130"/>
      <c r="N20" s="130"/>
      <c r="O20" s="130"/>
      <c r="P20" s="130"/>
      <c r="Q20" s="68">
        <f>+E20-G20-H20</f>
        <v>0</v>
      </c>
      <c r="R20" s="7">
        <f t="shared" si="0"/>
        <v>0</v>
      </c>
      <c r="S20" s="7">
        <f t="shared" si="1"/>
        <v>0</v>
      </c>
    </row>
    <row r="21" spans="1:19" ht="15">
      <c r="A21" s="4" t="s">
        <v>102</v>
      </c>
      <c r="B21" s="109"/>
      <c r="C21" s="64"/>
      <c r="D21" s="109"/>
      <c r="E21" s="109"/>
      <c r="F21" s="127">
        <f t="shared" si="3"/>
        <v>0</v>
      </c>
      <c r="G21" s="128"/>
      <c r="H21" s="129"/>
      <c r="I21" s="91"/>
      <c r="J21" s="130"/>
      <c r="K21" s="130"/>
      <c r="L21" s="130"/>
      <c r="M21" s="130"/>
      <c r="N21" s="130"/>
      <c r="O21" s="130"/>
      <c r="P21" s="130"/>
      <c r="Q21" s="68">
        <v>0</v>
      </c>
      <c r="R21" s="7">
        <f t="shared" si="0"/>
        <v>0</v>
      </c>
      <c r="S21" s="7">
        <f t="shared" si="1"/>
        <v>0</v>
      </c>
    </row>
    <row r="22" spans="1:19" ht="15">
      <c r="A22" s="4" t="s">
        <v>106</v>
      </c>
      <c r="B22" s="109"/>
      <c r="C22" s="64"/>
      <c r="D22" s="109"/>
      <c r="E22" s="109"/>
      <c r="F22" s="144">
        <f t="shared" si="3"/>
        <v>0</v>
      </c>
      <c r="G22" s="128"/>
      <c r="H22" s="129"/>
      <c r="I22" s="91"/>
      <c r="J22" s="130"/>
      <c r="K22" s="130"/>
      <c r="L22" s="130"/>
      <c r="M22" s="130"/>
      <c r="N22" s="130"/>
      <c r="O22" s="130"/>
      <c r="P22" s="130"/>
      <c r="Q22" s="68"/>
      <c r="R22" s="7"/>
      <c r="S22" s="7"/>
    </row>
    <row r="23" spans="1:19" ht="15">
      <c r="A23" s="4" t="s">
        <v>158</v>
      </c>
      <c r="B23" s="109"/>
      <c r="C23" s="64"/>
      <c r="D23" s="109"/>
      <c r="E23" s="109"/>
      <c r="F23" s="144">
        <f t="shared" si="3"/>
        <v>0</v>
      </c>
      <c r="G23" s="128"/>
      <c r="H23" s="129"/>
      <c r="I23" s="91"/>
      <c r="J23" s="130"/>
      <c r="K23" s="130"/>
      <c r="L23" s="130"/>
      <c r="M23" s="130"/>
      <c r="N23" s="130"/>
      <c r="O23" s="130"/>
      <c r="P23" s="130"/>
      <c r="Q23" s="68"/>
      <c r="R23" s="7"/>
      <c r="S23" s="7"/>
    </row>
    <row r="24" spans="1:19" ht="15.75" thickBot="1">
      <c r="A24" s="4" t="s">
        <v>103</v>
      </c>
      <c r="B24" s="109"/>
      <c r="C24" s="67"/>
      <c r="D24" s="109"/>
      <c r="E24" s="109"/>
      <c r="F24" s="127"/>
      <c r="G24" s="128"/>
      <c r="H24" s="129"/>
      <c r="I24" s="91"/>
      <c r="J24" s="130"/>
      <c r="K24" s="68"/>
      <c r="L24" s="130"/>
      <c r="M24" s="130"/>
      <c r="N24" s="130"/>
      <c r="O24" s="130"/>
      <c r="P24" s="130"/>
      <c r="Q24" s="68">
        <v>0</v>
      </c>
      <c r="R24" s="7">
        <f t="shared" si="0"/>
        <v>0</v>
      </c>
      <c r="S24" s="7">
        <f t="shared" si="1"/>
        <v>0</v>
      </c>
    </row>
    <row r="25" spans="1:19" ht="15.75" thickBot="1">
      <c r="A25" s="48" t="s">
        <v>6</v>
      </c>
      <c r="B25" s="43">
        <v>13000</v>
      </c>
      <c r="C25" s="43">
        <v>25478.06</v>
      </c>
      <c r="D25" s="43">
        <v>15000</v>
      </c>
      <c r="E25" s="43">
        <v>15000</v>
      </c>
      <c r="F25" s="132">
        <f>+E25-B25</f>
        <v>2000</v>
      </c>
      <c r="G25" s="133">
        <f aca="true" t="shared" si="4" ref="G25:P25">SUM(G16:G24)</f>
        <v>0</v>
      </c>
      <c r="H25" s="134">
        <f t="shared" si="4"/>
        <v>0</v>
      </c>
      <c r="I25" s="135">
        <f t="shared" si="4"/>
        <v>0</v>
      </c>
      <c r="J25" s="136">
        <f>SUM(J16:J24)</f>
        <v>0</v>
      </c>
      <c r="K25" s="136">
        <f t="shared" si="4"/>
        <v>0</v>
      </c>
      <c r="L25" s="136">
        <f t="shared" si="4"/>
        <v>0</v>
      </c>
      <c r="M25" s="136">
        <f t="shared" si="4"/>
        <v>0</v>
      </c>
      <c r="N25" s="136">
        <f t="shared" si="4"/>
        <v>0</v>
      </c>
      <c r="O25" s="136">
        <f t="shared" si="4"/>
        <v>0</v>
      </c>
      <c r="P25" s="136">
        <f t="shared" si="4"/>
        <v>0</v>
      </c>
      <c r="Q25" s="110">
        <v>13000</v>
      </c>
      <c r="R25" s="44">
        <f t="shared" si="0"/>
        <v>13000</v>
      </c>
      <c r="S25" s="7">
        <f t="shared" si="1"/>
        <v>-2000</v>
      </c>
    </row>
    <row r="26" spans="1:19" ht="15">
      <c r="A26" s="46" t="s">
        <v>10</v>
      </c>
      <c r="B26" s="91"/>
      <c r="C26" s="146"/>
      <c r="D26" s="91"/>
      <c r="E26" s="91"/>
      <c r="F26" s="125"/>
      <c r="G26" s="128"/>
      <c r="H26" s="129"/>
      <c r="I26" s="91"/>
      <c r="J26" s="91"/>
      <c r="K26" s="91"/>
      <c r="L26" s="91"/>
      <c r="M26" s="91"/>
      <c r="N26" s="91"/>
      <c r="O26" s="91"/>
      <c r="P26" s="91"/>
      <c r="Q26" s="91"/>
      <c r="R26" s="13">
        <f t="shared" si="0"/>
        <v>0</v>
      </c>
      <c r="S26" s="7">
        <f t="shared" si="1"/>
        <v>0</v>
      </c>
    </row>
    <row r="27" spans="1:19" ht="15">
      <c r="A27" s="4" t="s">
        <v>11</v>
      </c>
      <c r="B27" s="109">
        <v>49200</v>
      </c>
      <c r="C27" s="63">
        <v>24900</v>
      </c>
      <c r="D27" s="109">
        <v>60200</v>
      </c>
      <c r="E27" s="109">
        <v>45200</v>
      </c>
      <c r="F27" s="144">
        <f>+E27-B27</f>
        <v>-4000</v>
      </c>
      <c r="G27" s="109">
        <v>60200</v>
      </c>
      <c r="H27" s="129"/>
      <c r="I27" s="91"/>
      <c r="J27" s="130"/>
      <c r="K27" s="130"/>
      <c r="L27" s="130"/>
      <c r="M27" s="130"/>
      <c r="N27" s="130"/>
      <c r="O27" s="130"/>
      <c r="P27" s="130"/>
      <c r="Q27" s="68"/>
      <c r="R27" s="7">
        <f t="shared" si="0"/>
        <v>60200</v>
      </c>
      <c r="S27" s="7">
        <f t="shared" si="1"/>
        <v>15000</v>
      </c>
    </row>
    <row r="28" spans="1:19" ht="15">
      <c r="A28" s="4" t="s">
        <v>157</v>
      </c>
      <c r="B28" s="109">
        <v>7200</v>
      </c>
      <c r="C28" s="64">
        <v>1158.75</v>
      </c>
      <c r="D28" s="109">
        <v>6400</v>
      </c>
      <c r="E28" s="109">
        <v>4900</v>
      </c>
      <c r="F28" s="127">
        <f aca="true" t="shared" si="5" ref="F28:F45">+E28-B28</f>
        <v>-2300</v>
      </c>
      <c r="G28" s="109">
        <v>6400</v>
      </c>
      <c r="H28" s="129"/>
      <c r="I28" s="91"/>
      <c r="J28" s="130"/>
      <c r="K28" s="130"/>
      <c r="L28" s="130"/>
      <c r="M28" s="130"/>
      <c r="N28" s="130"/>
      <c r="O28" s="130"/>
      <c r="P28" s="130"/>
      <c r="Q28" s="68"/>
      <c r="R28" s="7">
        <f t="shared" si="0"/>
        <v>6400</v>
      </c>
      <c r="S28" s="7"/>
    </row>
    <row r="29" spans="1:19" ht="15">
      <c r="A29" s="4" t="s">
        <v>155</v>
      </c>
      <c r="B29" s="109">
        <v>0</v>
      </c>
      <c r="C29" s="63">
        <v>0</v>
      </c>
      <c r="D29" s="109"/>
      <c r="E29" s="109">
        <v>0</v>
      </c>
      <c r="F29" s="144">
        <f t="shared" si="5"/>
        <v>0</v>
      </c>
      <c r="G29" s="109">
        <v>0</v>
      </c>
      <c r="H29" s="129"/>
      <c r="I29" s="91"/>
      <c r="J29" s="130"/>
      <c r="K29" s="130"/>
      <c r="L29" s="68"/>
      <c r="M29" s="68"/>
      <c r="N29" s="68"/>
      <c r="O29" s="68"/>
      <c r="P29" s="68"/>
      <c r="Q29" s="68"/>
      <c r="R29" s="7">
        <f t="shared" si="0"/>
        <v>0</v>
      </c>
      <c r="S29" s="7">
        <f t="shared" si="1"/>
        <v>0</v>
      </c>
    </row>
    <row r="30" spans="1:19" ht="15">
      <c r="A30" s="4" t="s">
        <v>170</v>
      </c>
      <c r="B30" s="109">
        <v>16000</v>
      </c>
      <c r="C30" s="63">
        <v>10834.5</v>
      </c>
      <c r="D30" s="109">
        <v>20000</v>
      </c>
      <c r="E30" s="109">
        <v>16500</v>
      </c>
      <c r="F30" s="144">
        <f t="shared" si="5"/>
        <v>500</v>
      </c>
      <c r="G30" s="128"/>
      <c r="H30" s="129"/>
      <c r="I30" s="91"/>
      <c r="J30" s="130"/>
      <c r="K30" s="130"/>
      <c r="L30" s="130"/>
      <c r="M30" s="130"/>
      <c r="N30" s="130"/>
      <c r="O30" s="130"/>
      <c r="P30" s="130"/>
      <c r="Q30" s="68">
        <v>16000</v>
      </c>
      <c r="R30" s="7">
        <f t="shared" si="0"/>
        <v>16000</v>
      </c>
      <c r="S30" s="7">
        <f t="shared" si="1"/>
        <v>-500</v>
      </c>
    </row>
    <row r="31" spans="1:19" ht="15">
      <c r="A31" s="4" t="s">
        <v>156</v>
      </c>
      <c r="B31" s="109">
        <v>2000</v>
      </c>
      <c r="C31" s="63">
        <v>333.5</v>
      </c>
      <c r="D31" s="109">
        <v>1000</v>
      </c>
      <c r="E31" s="109">
        <v>1000</v>
      </c>
      <c r="F31" s="144">
        <f t="shared" si="5"/>
        <v>-1000</v>
      </c>
      <c r="G31" s="128"/>
      <c r="H31" s="129"/>
      <c r="I31" s="91"/>
      <c r="J31" s="130"/>
      <c r="K31" s="130"/>
      <c r="L31" s="130"/>
      <c r="M31" s="130"/>
      <c r="N31" s="130"/>
      <c r="O31" s="130"/>
      <c r="P31" s="130"/>
      <c r="Q31" s="68">
        <v>2000</v>
      </c>
      <c r="R31" s="7">
        <f t="shared" si="0"/>
        <v>2000</v>
      </c>
      <c r="S31" s="7">
        <f t="shared" si="1"/>
        <v>1000</v>
      </c>
    </row>
    <row r="32" spans="1:19" ht="15">
      <c r="A32" s="4" t="s">
        <v>12</v>
      </c>
      <c r="B32" s="109">
        <v>1500</v>
      </c>
      <c r="C32" s="63">
        <v>703.98</v>
      </c>
      <c r="D32" s="109">
        <v>1500</v>
      </c>
      <c r="E32" s="109">
        <v>1500</v>
      </c>
      <c r="F32" s="144">
        <f t="shared" si="5"/>
        <v>0</v>
      </c>
      <c r="G32" s="128"/>
      <c r="H32" s="129"/>
      <c r="I32" s="91"/>
      <c r="J32" s="130"/>
      <c r="K32" s="130"/>
      <c r="L32" s="130"/>
      <c r="M32" s="130"/>
      <c r="N32" s="130"/>
      <c r="O32" s="130"/>
      <c r="P32" s="130"/>
      <c r="Q32" s="68">
        <v>1500</v>
      </c>
      <c r="R32" s="7">
        <f t="shared" si="0"/>
        <v>1500</v>
      </c>
      <c r="S32" s="7">
        <f t="shared" si="1"/>
        <v>0</v>
      </c>
    </row>
    <row r="33" spans="1:19" ht="15">
      <c r="A33" s="4" t="s">
        <v>104</v>
      </c>
      <c r="B33" s="109">
        <v>100</v>
      </c>
      <c r="C33" s="63">
        <v>1</v>
      </c>
      <c r="D33" s="109">
        <v>100</v>
      </c>
      <c r="E33" s="109">
        <v>100</v>
      </c>
      <c r="F33" s="144">
        <f t="shared" si="5"/>
        <v>0</v>
      </c>
      <c r="G33" s="128"/>
      <c r="H33" s="129"/>
      <c r="I33" s="91"/>
      <c r="J33" s="130"/>
      <c r="K33" s="130"/>
      <c r="L33" s="130"/>
      <c r="M33" s="130"/>
      <c r="N33" s="130"/>
      <c r="O33" s="130"/>
      <c r="P33" s="130"/>
      <c r="Q33" s="68">
        <v>100</v>
      </c>
      <c r="R33" s="7">
        <f t="shared" si="0"/>
        <v>100</v>
      </c>
      <c r="S33" s="7">
        <f t="shared" si="1"/>
        <v>0</v>
      </c>
    </row>
    <row r="34" spans="1:19" ht="15">
      <c r="A34" s="4" t="s">
        <v>13</v>
      </c>
      <c r="B34" s="109">
        <v>0</v>
      </c>
      <c r="C34" s="64">
        <v>0</v>
      </c>
      <c r="D34" s="109">
        <v>0</v>
      </c>
      <c r="E34" s="109">
        <v>0</v>
      </c>
      <c r="F34" s="144">
        <f t="shared" si="5"/>
        <v>0</v>
      </c>
      <c r="G34" s="128"/>
      <c r="H34" s="129"/>
      <c r="I34" s="91"/>
      <c r="J34" s="109"/>
      <c r="K34" s="130"/>
      <c r="L34" s="130"/>
      <c r="M34" s="130"/>
      <c r="N34" s="130"/>
      <c r="O34" s="130"/>
      <c r="P34" s="130"/>
      <c r="Q34" s="68"/>
      <c r="R34" s="7">
        <f t="shared" si="0"/>
        <v>0</v>
      </c>
      <c r="S34" s="7">
        <f t="shared" si="1"/>
        <v>0</v>
      </c>
    </row>
    <row r="35" spans="1:19" ht="15">
      <c r="A35" s="4" t="s">
        <v>14</v>
      </c>
      <c r="B35" s="109">
        <v>0</v>
      </c>
      <c r="C35" s="63">
        <v>0</v>
      </c>
      <c r="D35" s="109">
        <v>0</v>
      </c>
      <c r="E35" s="109">
        <v>0</v>
      </c>
      <c r="F35" s="144">
        <f t="shared" si="5"/>
        <v>0</v>
      </c>
      <c r="G35" s="128"/>
      <c r="H35" s="129"/>
      <c r="I35" s="91"/>
      <c r="J35" s="109"/>
      <c r="K35" s="130"/>
      <c r="L35" s="130"/>
      <c r="M35" s="130"/>
      <c r="N35" s="130"/>
      <c r="O35" s="130"/>
      <c r="P35" s="130"/>
      <c r="Q35" s="68"/>
      <c r="R35" s="7">
        <f t="shared" si="0"/>
        <v>0</v>
      </c>
      <c r="S35" s="7">
        <f t="shared" si="1"/>
        <v>0</v>
      </c>
    </row>
    <row r="36" spans="1:19" ht="15">
      <c r="A36" s="4" t="s">
        <v>15</v>
      </c>
      <c r="B36" s="109">
        <v>13750</v>
      </c>
      <c r="C36" s="63">
        <v>8808.6</v>
      </c>
      <c r="D36" s="109">
        <v>18000</v>
      </c>
      <c r="E36" s="109">
        <v>13500</v>
      </c>
      <c r="F36" s="144">
        <f t="shared" si="5"/>
        <v>-250</v>
      </c>
      <c r="G36" s="128"/>
      <c r="H36" s="129"/>
      <c r="I36" s="91"/>
      <c r="J36" s="109"/>
      <c r="K36" s="130"/>
      <c r="L36" s="130"/>
      <c r="M36" s="130"/>
      <c r="N36" s="130"/>
      <c r="O36" s="130"/>
      <c r="P36" s="130"/>
      <c r="Q36" s="68">
        <v>13750</v>
      </c>
      <c r="R36" s="7">
        <f t="shared" si="0"/>
        <v>13750</v>
      </c>
      <c r="S36" s="7">
        <f t="shared" si="1"/>
        <v>250</v>
      </c>
    </row>
    <row r="37" spans="1:19" ht="15">
      <c r="A37" s="4" t="s">
        <v>124</v>
      </c>
      <c r="B37" s="109">
        <v>0</v>
      </c>
      <c r="C37" s="63">
        <v>0</v>
      </c>
      <c r="D37" s="109">
        <v>0</v>
      </c>
      <c r="E37" s="109">
        <v>0</v>
      </c>
      <c r="F37" s="144">
        <f t="shared" si="5"/>
        <v>0</v>
      </c>
      <c r="G37" s="128"/>
      <c r="H37" s="129"/>
      <c r="I37" s="91"/>
      <c r="J37" s="109"/>
      <c r="K37" s="130"/>
      <c r="L37" s="130"/>
      <c r="M37" s="130"/>
      <c r="N37" s="130"/>
      <c r="O37" s="130"/>
      <c r="P37" s="130"/>
      <c r="Q37" s="68"/>
      <c r="R37" s="7">
        <f t="shared" si="0"/>
        <v>0</v>
      </c>
      <c r="S37" s="7">
        <f t="shared" si="1"/>
        <v>0</v>
      </c>
    </row>
    <row r="38" spans="1:19" ht="15">
      <c r="A38" s="4" t="s">
        <v>16</v>
      </c>
      <c r="B38" s="109">
        <v>1000</v>
      </c>
      <c r="C38" s="63">
        <v>945</v>
      </c>
      <c r="D38" s="109">
        <v>1200</v>
      </c>
      <c r="E38" s="109">
        <v>1200</v>
      </c>
      <c r="F38" s="144">
        <f t="shared" si="5"/>
        <v>200</v>
      </c>
      <c r="G38" s="128"/>
      <c r="H38" s="129"/>
      <c r="I38" s="91"/>
      <c r="J38" s="109"/>
      <c r="K38" s="130"/>
      <c r="L38" s="130"/>
      <c r="M38" s="130"/>
      <c r="N38" s="130"/>
      <c r="O38" s="130"/>
      <c r="P38" s="130"/>
      <c r="Q38" s="68">
        <v>1000</v>
      </c>
      <c r="R38" s="7">
        <f t="shared" si="0"/>
        <v>1000</v>
      </c>
      <c r="S38" s="7">
        <f t="shared" si="1"/>
        <v>-200</v>
      </c>
    </row>
    <row r="39" spans="1:19" ht="15">
      <c r="A39" s="4" t="s">
        <v>17</v>
      </c>
      <c r="B39" s="109">
        <v>58000</v>
      </c>
      <c r="C39" s="63">
        <v>30361.75</v>
      </c>
      <c r="D39" s="109">
        <v>66600</v>
      </c>
      <c r="E39" s="109">
        <v>50100</v>
      </c>
      <c r="F39" s="144">
        <f t="shared" si="5"/>
        <v>-7900</v>
      </c>
      <c r="G39" s="128"/>
      <c r="H39" s="129">
        <v>66600</v>
      </c>
      <c r="I39" s="91"/>
      <c r="J39" s="130"/>
      <c r="K39" s="130"/>
      <c r="L39" s="130"/>
      <c r="M39" s="130"/>
      <c r="N39" s="130"/>
      <c r="O39" s="130"/>
      <c r="P39" s="130"/>
      <c r="Q39" s="68"/>
      <c r="R39" s="7">
        <f t="shared" si="0"/>
        <v>66600</v>
      </c>
      <c r="S39" s="7">
        <f t="shared" si="1"/>
        <v>16500</v>
      </c>
    </row>
    <row r="40" spans="1:19" ht="15">
      <c r="A40" s="4" t="s">
        <v>18</v>
      </c>
      <c r="B40" s="109">
        <v>9600</v>
      </c>
      <c r="C40" s="63">
        <v>4590</v>
      </c>
      <c r="D40" s="109">
        <v>12000</v>
      </c>
      <c r="E40" s="109">
        <v>9000</v>
      </c>
      <c r="F40" s="144">
        <f t="shared" si="5"/>
        <v>-600</v>
      </c>
      <c r="G40" s="128"/>
      <c r="H40" s="129">
        <v>12000</v>
      </c>
      <c r="I40" s="91"/>
      <c r="J40" s="130"/>
      <c r="K40" s="130"/>
      <c r="L40" s="130"/>
      <c r="M40" s="130"/>
      <c r="N40" s="130"/>
      <c r="O40" s="130"/>
      <c r="P40" s="130"/>
      <c r="Q40" s="68"/>
      <c r="R40" s="7">
        <f t="shared" si="0"/>
        <v>12000</v>
      </c>
      <c r="S40" s="7">
        <f t="shared" si="1"/>
        <v>3000</v>
      </c>
    </row>
    <row r="41" spans="1:19" ht="15">
      <c r="A41" s="4" t="s">
        <v>122</v>
      </c>
      <c r="B41" s="109"/>
      <c r="C41" s="63">
        <v>0</v>
      </c>
      <c r="D41" s="109">
        <v>0</v>
      </c>
      <c r="E41" s="109"/>
      <c r="F41" s="144">
        <f t="shared" si="5"/>
        <v>0</v>
      </c>
      <c r="G41" s="128"/>
      <c r="H41" s="129"/>
      <c r="I41" s="91"/>
      <c r="J41" s="130"/>
      <c r="K41" s="130"/>
      <c r="L41" s="130"/>
      <c r="M41" s="130"/>
      <c r="N41" s="130"/>
      <c r="O41" s="130"/>
      <c r="P41" s="130"/>
      <c r="Q41" s="68"/>
      <c r="R41" s="7">
        <f t="shared" si="0"/>
        <v>0</v>
      </c>
      <c r="S41" s="7">
        <f t="shared" si="1"/>
        <v>0</v>
      </c>
    </row>
    <row r="42" spans="1:19" ht="15">
      <c r="A42" s="4" t="s">
        <v>125</v>
      </c>
      <c r="B42" s="109">
        <v>15900</v>
      </c>
      <c r="C42" s="63">
        <v>6840.76</v>
      </c>
      <c r="D42" s="109">
        <v>15000</v>
      </c>
      <c r="E42" s="109">
        <v>11250</v>
      </c>
      <c r="F42" s="144">
        <f t="shared" si="5"/>
        <v>-4650</v>
      </c>
      <c r="G42" s="128"/>
      <c r="H42" s="129"/>
      <c r="I42" s="91"/>
      <c r="J42" s="130"/>
      <c r="K42" s="130"/>
      <c r="L42" s="130"/>
      <c r="M42" s="130"/>
      <c r="N42" s="130"/>
      <c r="O42" s="130"/>
      <c r="P42" s="130"/>
      <c r="Q42" s="68">
        <v>15900</v>
      </c>
      <c r="R42" s="7">
        <f t="shared" si="0"/>
        <v>15900</v>
      </c>
      <c r="S42" s="7">
        <f t="shared" si="1"/>
        <v>4650</v>
      </c>
    </row>
    <row r="43" spans="1:19" ht="15">
      <c r="A43" s="4" t="s">
        <v>108</v>
      </c>
      <c r="B43" s="109">
        <v>1385</v>
      </c>
      <c r="C43" s="64">
        <v>290.35</v>
      </c>
      <c r="D43" s="109">
        <v>500</v>
      </c>
      <c r="E43" s="109">
        <v>500</v>
      </c>
      <c r="F43" s="144">
        <f t="shared" si="5"/>
        <v>-885</v>
      </c>
      <c r="G43" s="128"/>
      <c r="H43" s="129"/>
      <c r="I43" s="91"/>
      <c r="J43" s="130"/>
      <c r="K43" s="130"/>
      <c r="L43" s="130"/>
      <c r="M43" s="130"/>
      <c r="N43" s="130"/>
      <c r="O43" s="130"/>
      <c r="P43" s="130"/>
      <c r="Q43" s="68">
        <v>1385</v>
      </c>
      <c r="R43" s="7">
        <f t="shared" si="0"/>
        <v>1385</v>
      </c>
      <c r="S43" s="7">
        <f t="shared" si="1"/>
        <v>885</v>
      </c>
    </row>
    <row r="44" spans="1:19" ht="15">
      <c r="A44" s="4" t="s">
        <v>19</v>
      </c>
      <c r="B44" s="109">
        <v>1000</v>
      </c>
      <c r="C44" s="64">
        <v>970.5</v>
      </c>
      <c r="D44" s="109">
        <v>1500</v>
      </c>
      <c r="E44" s="109">
        <v>1500</v>
      </c>
      <c r="F44" s="144">
        <f t="shared" si="5"/>
        <v>500</v>
      </c>
      <c r="G44" s="128"/>
      <c r="H44" s="129"/>
      <c r="I44" s="91"/>
      <c r="J44" s="130"/>
      <c r="K44" s="130"/>
      <c r="L44" s="130"/>
      <c r="M44" s="130"/>
      <c r="N44" s="130"/>
      <c r="O44" s="130"/>
      <c r="P44" s="68"/>
      <c r="Q44" s="68">
        <v>1000</v>
      </c>
      <c r="R44" s="7">
        <f t="shared" si="0"/>
        <v>1000</v>
      </c>
      <c r="S44" s="7">
        <f t="shared" si="1"/>
        <v>-500</v>
      </c>
    </row>
    <row r="45" spans="1:19" ht="15.75" thickBot="1">
      <c r="A45" s="4" t="s">
        <v>126</v>
      </c>
      <c r="B45" s="112">
        <v>2000</v>
      </c>
      <c r="C45" s="147">
        <v>210.96</v>
      </c>
      <c r="D45" s="112">
        <v>2000</v>
      </c>
      <c r="E45" s="112">
        <v>2000</v>
      </c>
      <c r="F45" s="144">
        <f t="shared" si="5"/>
        <v>0</v>
      </c>
      <c r="G45" s="141"/>
      <c r="H45" s="142"/>
      <c r="I45" s="111"/>
      <c r="J45" s="148"/>
      <c r="K45" s="148"/>
      <c r="L45" s="148"/>
      <c r="M45" s="148"/>
      <c r="N45" s="148"/>
      <c r="O45" s="148"/>
      <c r="P45" s="148"/>
      <c r="Q45" s="68">
        <v>2000</v>
      </c>
      <c r="R45" s="16">
        <f t="shared" si="0"/>
        <v>2000</v>
      </c>
      <c r="S45" s="7">
        <f t="shared" si="1"/>
        <v>0</v>
      </c>
    </row>
    <row r="46" spans="1:19" ht="15.75" thickBot="1">
      <c r="A46" s="48" t="s">
        <v>6</v>
      </c>
      <c r="B46" s="110">
        <f>SUM(B27:B45)</f>
        <v>178635</v>
      </c>
      <c r="C46" s="43">
        <f aca="true" t="shared" si="6" ref="C46:Q46">SUM(C27:C45)</f>
        <v>90949.65000000001</v>
      </c>
      <c r="D46" s="110">
        <f t="shared" si="6"/>
        <v>206000</v>
      </c>
      <c r="E46" s="110">
        <f t="shared" si="6"/>
        <v>158250</v>
      </c>
      <c r="F46" s="132">
        <f t="shared" si="6"/>
        <v>-20385</v>
      </c>
      <c r="G46" s="133">
        <f t="shared" si="6"/>
        <v>66600</v>
      </c>
      <c r="H46" s="134">
        <f t="shared" si="6"/>
        <v>78600</v>
      </c>
      <c r="I46" s="135">
        <f t="shared" si="6"/>
        <v>0</v>
      </c>
      <c r="J46" s="136">
        <f t="shared" si="6"/>
        <v>0</v>
      </c>
      <c r="K46" s="136">
        <f t="shared" si="6"/>
        <v>0</v>
      </c>
      <c r="L46" s="136">
        <f t="shared" si="6"/>
        <v>0</v>
      </c>
      <c r="M46" s="136">
        <f t="shared" si="6"/>
        <v>0</v>
      </c>
      <c r="N46" s="136">
        <f t="shared" si="6"/>
        <v>0</v>
      </c>
      <c r="O46" s="136">
        <f t="shared" si="6"/>
        <v>0</v>
      </c>
      <c r="P46" s="136">
        <f t="shared" si="6"/>
        <v>0</v>
      </c>
      <c r="Q46" s="110">
        <f t="shared" si="6"/>
        <v>54635</v>
      </c>
      <c r="R46" s="12">
        <f t="shared" si="0"/>
        <v>199835</v>
      </c>
      <c r="S46" s="7">
        <f t="shared" si="1"/>
        <v>41585</v>
      </c>
    </row>
    <row r="47" spans="1:19" ht="15">
      <c r="A47" s="46" t="s">
        <v>20</v>
      </c>
      <c r="B47" s="91"/>
      <c r="C47" s="137"/>
      <c r="D47" s="91"/>
      <c r="E47" s="91"/>
      <c r="F47" s="125"/>
      <c r="G47" s="128"/>
      <c r="H47" s="129"/>
      <c r="I47" s="91"/>
      <c r="J47" s="91"/>
      <c r="K47" s="91"/>
      <c r="L47" s="91"/>
      <c r="M47" s="91"/>
      <c r="N47" s="91"/>
      <c r="O47" s="91"/>
      <c r="P47" s="91"/>
      <c r="Q47" s="91"/>
      <c r="R47" s="13">
        <f t="shared" si="0"/>
        <v>0</v>
      </c>
      <c r="S47" s="7">
        <f t="shared" si="1"/>
        <v>0</v>
      </c>
    </row>
    <row r="48" spans="1:19" ht="15">
      <c r="A48" s="5" t="s">
        <v>21</v>
      </c>
      <c r="B48" s="109"/>
      <c r="C48" s="109"/>
      <c r="D48" s="109"/>
      <c r="E48" s="109"/>
      <c r="F48" s="144">
        <f>+E48-D48</f>
        <v>0</v>
      </c>
      <c r="G48" s="128"/>
      <c r="H48" s="129"/>
      <c r="I48" s="91"/>
      <c r="J48" s="130"/>
      <c r="K48" s="130"/>
      <c r="L48" s="130"/>
      <c r="M48" s="130"/>
      <c r="N48" s="130"/>
      <c r="O48" s="130"/>
      <c r="P48" s="130"/>
      <c r="Q48" s="68"/>
      <c r="R48" s="7">
        <f t="shared" si="0"/>
        <v>0</v>
      </c>
      <c r="S48" s="7">
        <f t="shared" si="1"/>
        <v>0</v>
      </c>
    </row>
    <row r="49" spans="1:19" ht="15">
      <c r="A49" s="5" t="s">
        <v>153</v>
      </c>
      <c r="B49" s="109"/>
      <c r="C49" s="109"/>
      <c r="D49" s="109"/>
      <c r="E49" s="109"/>
      <c r="F49" s="144">
        <f>+E49-D49</f>
        <v>0</v>
      </c>
      <c r="G49" s="128"/>
      <c r="H49" s="129"/>
      <c r="I49" s="91"/>
      <c r="J49" s="130"/>
      <c r="K49" s="130"/>
      <c r="L49" s="130"/>
      <c r="M49" s="130"/>
      <c r="N49" s="130"/>
      <c r="O49" s="130"/>
      <c r="P49" s="130"/>
      <c r="Q49" s="68"/>
      <c r="R49" s="7">
        <f t="shared" si="0"/>
        <v>0</v>
      </c>
      <c r="S49" s="7">
        <f t="shared" si="1"/>
        <v>0</v>
      </c>
    </row>
    <row r="50" spans="1:19" ht="15">
      <c r="A50" s="5" t="s">
        <v>22</v>
      </c>
      <c r="B50" s="109"/>
      <c r="C50" s="109"/>
      <c r="D50" s="109"/>
      <c r="E50" s="109"/>
      <c r="F50" s="144">
        <f>+E50-D50</f>
        <v>0</v>
      </c>
      <c r="G50" s="128"/>
      <c r="H50" s="129"/>
      <c r="I50" s="91"/>
      <c r="J50" s="130"/>
      <c r="K50" s="130"/>
      <c r="L50" s="130"/>
      <c r="M50" s="130"/>
      <c r="N50" s="130"/>
      <c r="O50" s="130"/>
      <c r="P50" s="130"/>
      <c r="Q50" s="68"/>
      <c r="R50" s="7">
        <f t="shared" si="0"/>
        <v>0</v>
      </c>
      <c r="S50" s="7">
        <f t="shared" si="1"/>
        <v>0</v>
      </c>
    </row>
    <row r="51" spans="1:19" ht="15.75" thickBot="1">
      <c r="A51" s="5" t="s">
        <v>169</v>
      </c>
      <c r="B51" s="109">
        <v>15000</v>
      </c>
      <c r="C51" s="149">
        <v>639</v>
      </c>
      <c r="D51" s="109"/>
      <c r="E51" s="109"/>
      <c r="F51" s="144"/>
      <c r="G51" s="128"/>
      <c r="H51" s="129"/>
      <c r="I51" s="91"/>
      <c r="J51" s="130"/>
      <c r="K51" s="130"/>
      <c r="L51" s="130"/>
      <c r="M51" s="130"/>
      <c r="N51" s="130"/>
      <c r="O51" s="130"/>
      <c r="P51" s="130"/>
      <c r="Q51" s="68">
        <v>15000</v>
      </c>
      <c r="R51" s="7">
        <f t="shared" si="0"/>
        <v>15000</v>
      </c>
      <c r="S51" s="7">
        <f t="shared" si="1"/>
        <v>15000</v>
      </c>
    </row>
    <row r="52" spans="1:19" ht="15.75" thickBot="1">
      <c r="A52" s="48" t="s">
        <v>6</v>
      </c>
      <c r="B52" s="110">
        <f>SUM(B48:B51)</f>
        <v>15000</v>
      </c>
      <c r="C52" s="43">
        <f aca="true" t="shared" si="7" ref="C52:Q52">SUM(C48:C51)</f>
        <v>639</v>
      </c>
      <c r="D52" s="110">
        <v>15000</v>
      </c>
      <c r="E52" s="110">
        <v>15000</v>
      </c>
      <c r="F52" s="132">
        <f>SUM(F48:F51)</f>
        <v>0</v>
      </c>
      <c r="G52" s="133">
        <f t="shared" si="7"/>
        <v>0</v>
      </c>
      <c r="H52" s="134">
        <f t="shared" si="7"/>
        <v>0</v>
      </c>
      <c r="I52" s="135">
        <f t="shared" si="7"/>
        <v>0</v>
      </c>
      <c r="J52" s="136">
        <f>SUM(J48:J51)</f>
        <v>0</v>
      </c>
      <c r="K52" s="136">
        <f t="shared" si="7"/>
        <v>0</v>
      </c>
      <c r="L52" s="136">
        <f t="shared" si="7"/>
        <v>0</v>
      </c>
      <c r="M52" s="136">
        <f t="shared" si="7"/>
        <v>0</v>
      </c>
      <c r="N52" s="136">
        <f t="shared" si="7"/>
        <v>0</v>
      </c>
      <c r="O52" s="136">
        <f t="shared" si="7"/>
        <v>0</v>
      </c>
      <c r="P52" s="136">
        <f t="shared" si="7"/>
        <v>0</v>
      </c>
      <c r="Q52" s="110">
        <f t="shared" si="7"/>
        <v>15000</v>
      </c>
      <c r="R52" s="12">
        <f t="shared" si="0"/>
        <v>15000</v>
      </c>
      <c r="S52" s="7">
        <f t="shared" si="1"/>
        <v>0</v>
      </c>
    </row>
    <row r="53" spans="1:19" ht="15">
      <c r="A53" s="46" t="s">
        <v>23</v>
      </c>
      <c r="B53" s="91"/>
      <c r="C53" s="146"/>
      <c r="D53" s="91"/>
      <c r="E53" s="91"/>
      <c r="F53" s="125"/>
      <c r="G53" s="128"/>
      <c r="H53" s="129"/>
      <c r="I53" s="91"/>
      <c r="J53" s="91"/>
      <c r="K53" s="91"/>
      <c r="L53" s="91"/>
      <c r="M53" s="91"/>
      <c r="N53" s="91"/>
      <c r="O53" s="91"/>
      <c r="P53" s="91"/>
      <c r="Q53" s="91"/>
      <c r="R53" s="13">
        <f t="shared" si="0"/>
        <v>0</v>
      </c>
      <c r="S53" s="7">
        <f t="shared" si="1"/>
        <v>0</v>
      </c>
    </row>
    <row r="54" spans="1:19" ht="15">
      <c r="A54" s="4" t="s">
        <v>106</v>
      </c>
      <c r="B54" s="109">
        <v>0</v>
      </c>
      <c r="C54" s="64">
        <v>0</v>
      </c>
      <c r="D54" s="109">
        <v>0</v>
      </c>
      <c r="E54" s="109">
        <v>0</v>
      </c>
      <c r="F54" s="144"/>
      <c r="G54" s="128"/>
      <c r="H54" s="129"/>
      <c r="I54" s="91"/>
      <c r="J54" s="130"/>
      <c r="K54" s="130"/>
      <c r="L54" s="130"/>
      <c r="M54" s="130"/>
      <c r="N54" s="130"/>
      <c r="O54" s="130"/>
      <c r="P54" s="130"/>
      <c r="Q54" s="68">
        <v>0</v>
      </c>
      <c r="R54" s="7"/>
      <c r="S54" s="7">
        <f t="shared" si="1"/>
        <v>0</v>
      </c>
    </row>
    <row r="55" spans="1:19" ht="15">
      <c r="A55" s="4" t="s">
        <v>107</v>
      </c>
      <c r="B55" s="109">
        <v>0</v>
      </c>
      <c r="C55" s="64">
        <v>0</v>
      </c>
      <c r="D55" s="109">
        <v>6650</v>
      </c>
      <c r="E55" s="109">
        <v>25</v>
      </c>
      <c r="F55" s="144">
        <f>+E55-D55</f>
        <v>-6625</v>
      </c>
      <c r="G55" s="128"/>
      <c r="H55" s="129"/>
      <c r="I55" s="91"/>
      <c r="J55" s="130"/>
      <c r="K55" s="130"/>
      <c r="L55" s="130"/>
      <c r="M55" s="130"/>
      <c r="N55" s="130"/>
      <c r="O55" s="130"/>
      <c r="P55" s="130"/>
      <c r="Q55" s="68">
        <f>+E55-G55-H55</f>
        <v>25</v>
      </c>
      <c r="R55" s="7">
        <f>SUM(G55:Q55)</f>
        <v>25</v>
      </c>
      <c r="S55" s="7">
        <f t="shared" si="1"/>
        <v>0</v>
      </c>
    </row>
    <row r="56" spans="1:19" ht="15">
      <c r="A56" s="4" t="s">
        <v>24</v>
      </c>
      <c r="B56" s="109">
        <v>0</v>
      </c>
      <c r="C56" s="64">
        <v>1010.4</v>
      </c>
      <c r="D56" s="109">
        <v>1173</v>
      </c>
      <c r="E56" s="109"/>
      <c r="F56" s="144">
        <f>+E56-D56</f>
        <v>-1173</v>
      </c>
      <c r="G56" s="128"/>
      <c r="H56" s="129"/>
      <c r="I56" s="91"/>
      <c r="J56" s="130"/>
      <c r="K56" s="130"/>
      <c r="L56" s="130"/>
      <c r="M56" s="130"/>
      <c r="N56" s="130"/>
      <c r="O56" s="130"/>
      <c r="P56" s="130"/>
      <c r="Q56" s="68">
        <f>+E56-G56-H56</f>
        <v>0</v>
      </c>
      <c r="R56" s="7">
        <f t="shared" si="0"/>
        <v>0</v>
      </c>
      <c r="S56" s="7">
        <f t="shared" si="1"/>
        <v>0</v>
      </c>
    </row>
    <row r="57" spans="1:19" ht="15">
      <c r="A57" s="4" t="s">
        <v>25</v>
      </c>
      <c r="B57" s="109">
        <v>0</v>
      </c>
      <c r="C57" s="64">
        <v>150</v>
      </c>
      <c r="D57" s="109">
        <v>100</v>
      </c>
      <c r="E57" s="109">
        <v>100</v>
      </c>
      <c r="F57" s="144">
        <f>+E57-D57</f>
        <v>0</v>
      </c>
      <c r="G57" s="128"/>
      <c r="H57" s="129"/>
      <c r="I57" s="91"/>
      <c r="J57" s="130"/>
      <c r="K57" s="130"/>
      <c r="L57" s="130"/>
      <c r="M57" s="130"/>
      <c r="N57" s="130"/>
      <c r="O57" s="130"/>
      <c r="P57" s="130"/>
      <c r="Q57" s="68"/>
      <c r="R57" s="7">
        <f t="shared" si="0"/>
        <v>0</v>
      </c>
      <c r="S57" s="7">
        <f t="shared" si="1"/>
        <v>-100</v>
      </c>
    </row>
    <row r="58" spans="1:19" ht="15.75" thickBot="1">
      <c r="A58" s="4" t="s">
        <v>26</v>
      </c>
      <c r="B58" s="112">
        <v>10630</v>
      </c>
      <c r="C58" s="65">
        <v>5002</v>
      </c>
      <c r="D58" s="112">
        <v>10000</v>
      </c>
      <c r="E58" s="112">
        <v>8000</v>
      </c>
      <c r="F58" s="144">
        <f>+E58-B58</f>
        <v>-2630</v>
      </c>
      <c r="G58" s="141"/>
      <c r="H58" s="142"/>
      <c r="I58" s="111"/>
      <c r="J58" s="148"/>
      <c r="K58" s="148"/>
      <c r="L58" s="148"/>
      <c r="M58" s="148"/>
      <c r="N58" s="148"/>
      <c r="O58" s="148"/>
      <c r="P58" s="148"/>
      <c r="Q58" s="68">
        <v>10630</v>
      </c>
      <c r="R58" s="16">
        <f t="shared" si="0"/>
        <v>10630</v>
      </c>
      <c r="S58" s="7">
        <f t="shared" si="1"/>
        <v>2630</v>
      </c>
    </row>
    <row r="59" spans="1:19" ht="15.75" thickBot="1">
      <c r="A59" s="48" t="s">
        <v>6</v>
      </c>
      <c r="B59" s="110">
        <f>SUM(B53:B58)</f>
        <v>10630</v>
      </c>
      <c r="C59" s="43">
        <f aca="true" t="shared" si="8" ref="C59:Q59">SUM(C53:C58)</f>
        <v>6162.4</v>
      </c>
      <c r="D59" s="110">
        <f>SUM(D53:D58)</f>
        <v>17923</v>
      </c>
      <c r="E59" s="110">
        <f>SUM(E53:E58)</f>
        <v>8125</v>
      </c>
      <c r="F59" s="132">
        <f>SUM(F53:F58)</f>
        <v>-10428</v>
      </c>
      <c r="G59" s="133">
        <f t="shared" si="8"/>
        <v>0</v>
      </c>
      <c r="H59" s="134">
        <f t="shared" si="8"/>
        <v>0</v>
      </c>
      <c r="I59" s="135">
        <f t="shared" si="8"/>
        <v>0</v>
      </c>
      <c r="J59" s="136">
        <f>SUM(J53:J58)</f>
        <v>0</v>
      </c>
      <c r="K59" s="136">
        <f t="shared" si="8"/>
        <v>0</v>
      </c>
      <c r="L59" s="136">
        <f t="shared" si="8"/>
        <v>0</v>
      </c>
      <c r="M59" s="136">
        <f t="shared" si="8"/>
        <v>0</v>
      </c>
      <c r="N59" s="136">
        <f t="shared" si="8"/>
        <v>0</v>
      </c>
      <c r="O59" s="136">
        <f t="shared" si="8"/>
        <v>0</v>
      </c>
      <c r="P59" s="136">
        <f t="shared" si="8"/>
        <v>0</v>
      </c>
      <c r="Q59" s="110">
        <f t="shared" si="8"/>
        <v>10655</v>
      </c>
      <c r="R59" s="12">
        <f t="shared" si="0"/>
        <v>10655</v>
      </c>
      <c r="S59" s="7">
        <f t="shared" si="1"/>
        <v>2530</v>
      </c>
    </row>
    <row r="60" spans="1:19" ht="16.5" thickBot="1">
      <c r="A60" s="49" t="s">
        <v>27</v>
      </c>
      <c r="B60" s="113">
        <f>B13+B25+B46+B52+B59</f>
        <v>749365</v>
      </c>
      <c r="C60" s="98">
        <f aca="true" t="shared" si="9" ref="C60:Q60">C13+C25+C46+C52+C59</f>
        <v>385784.11000000004</v>
      </c>
      <c r="D60" s="113">
        <f t="shared" si="9"/>
        <v>823523</v>
      </c>
      <c r="E60" s="113">
        <f t="shared" si="9"/>
        <v>712500</v>
      </c>
      <c r="F60" s="151">
        <f t="shared" si="9"/>
        <v>-97205</v>
      </c>
      <c r="G60" s="152">
        <f t="shared" si="9"/>
        <v>190480</v>
      </c>
      <c r="H60" s="153">
        <f t="shared" si="9"/>
        <v>180081</v>
      </c>
      <c r="I60" s="154">
        <f t="shared" si="9"/>
        <v>0</v>
      </c>
      <c r="J60" s="155">
        <f t="shared" si="9"/>
        <v>0</v>
      </c>
      <c r="K60" s="155">
        <f t="shared" si="9"/>
        <v>0</v>
      </c>
      <c r="L60" s="155">
        <f t="shared" si="9"/>
        <v>0</v>
      </c>
      <c r="M60" s="155">
        <f t="shared" si="9"/>
        <v>0</v>
      </c>
      <c r="N60" s="155">
        <f t="shared" si="9"/>
        <v>0</v>
      </c>
      <c r="O60" s="155">
        <f t="shared" si="9"/>
        <v>0</v>
      </c>
      <c r="P60" s="155">
        <f t="shared" si="9"/>
        <v>0</v>
      </c>
      <c r="Q60" s="155">
        <f t="shared" si="9"/>
        <v>412352</v>
      </c>
      <c r="R60" s="17">
        <f t="shared" si="0"/>
        <v>782913</v>
      </c>
      <c r="S60" s="7">
        <f t="shared" si="1"/>
        <v>70413</v>
      </c>
    </row>
    <row r="61" spans="1:19" ht="17.25" thickBot="1" thickTop="1">
      <c r="A61" s="70"/>
      <c r="B61" s="99"/>
      <c r="C61" s="99"/>
      <c r="D61" s="99"/>
      <c r="E61" s="99"/>
      <c r="F61" s="99"/>
      <c r="G61" s="157"/>
      <c r="H61" s="129"/>
      <c r="I61" s="91"/>
      <c r="J61" s="68"/>
      <c r="K61" s="68"/>
      <c r="L61" s="68"/>
      <c r="M61" s="68"/>
      <c r="N61" s="68"/>
      <c r="O61" s="68"/>
      <c r="P61" s="68"/>
      <c r="Q61" s="68"/>
      <c r="R61" s="7">
        <f t="shared" si="0"/>
        <v>0</v>
      </c>
      <c r="S61" s="7">
        <f t="shared" si="1"/>
        <v>0</v>
      </c>
    </row>
    <row r="62" spans="1:19" ht="18">
      <c r="A62" s="75"/>
      <c r="B62" s="104" t="s">
        <v>61</v>
      </c>
      <c r="C62" s="158" t="s">
        <v>105</v>
      </c>
      <c r="D62" s="104" t="s">
        <v>201</v>
      </c>
      <c r="E62" s="104" t="s">
        <v>61</v>
      </c>
      <c r="F62" s="118" t="s">
        <v>113</v>
      </c>
      <c r="G62" s="83" t="s">
        <v>63</v>
      </c>
      <c r="H62" s="76" t="s">
        <v>64</v>
      </c>
      <c r="I62" s="38" t="s">
        <v>66</v>
      </c>
      <c r="J62" s="6" t="s">
        <v>65</v>
      </c>
      <c r="K62" s="6" t="s">
        <v>67</v>
      </c>
      <c r="L62" s="6" t="s">
        <v>68</v>
      </c>
      <c r="M62" s="6" t="s">
        <v>69</v>
      </c>
      <c r="N62" s="6" t="s">
        <v>70</v>
      </c>
      <c r="O62" s="6" t="s">
        <v>71</v>
      </c>
      <c r="P62" s="6" t="s">
        <v>72</v>
      </c>
      <c r="Q62" s="6" t="s">
        <v>114</v>
      </c>
      <c r="R62" s="7"/>
      <c r="S62" s="7"/>
    </row>
    <row r="63" spans="1:19" ht="18.75" thickBot="1">
      <c r="A63" s="50"/>
      <c r="B63" s="106" t="str">
        <f>+B4</f>
        <v>2019-2020</v>
      </c>
      <c r="C63" s="106" t="str">
        <f>+C4</f>
        <v>Jul-Dec</v>
      </c>
      <c r="D63" s="106" t="str">
        <f>+D4</f>
        <v>2020-2021</v>
      </c>
      <c r="E63" s="106" t="str">
        <f>+E4</f>
        <v>2020-2021</v>
      </c>
      <c r="F63" s="159" t="s">
        <v>112</v>
      </c>
      <c r="G63" s="97" t="s">
        <v>73</v>
      </c>
      <c r="H63" s="77" t="s">
        <v>74</v>
      </c>
      <c r="I63" s="39" t="s">
        <v>74</v>
      </c>
      <c r="J63" s="8" t="s">
        <v>74</v>
      </c>
      <c r="K63" s="8" t="s">
        <v>74</v>
      </c>
      <c r="L63" s="8" t="s">
        <v>75</v>
      </c>
      <c r="M63" s="8" t="s">
        <v>75</v>
      </c>
      <c r="N63" s="8" t="s">
        <v>75</v>
      </c>
      <c r="O63" s="8" t="s">
        <v>76</v>
      </c>
      <c r="P63" s="8" t="s">
        <v>74</v>
      </c>
      <c r="Q63" s="8" t="s">
        <v>75</v>
      </c>
      <c r="R63" s="9" t="s">
        <v>62</v>
      </c>
      <c r="S63" s="7"/>
    </row>
    <row r="64" spans="1:19" ht="18.75" thickBot="1">
      <c r="A64" s="71" t="s">
        <v>28</v>
      </c>
      <c r="B64" s="104"/>
      <c r="C64" s="121"/>
      <c r="D64" s="104"/>
      <c r="E64" s="104"/>
      <c r="F64" s="123"/>
      <c r="G64" s="85"/>
      <c r="H64" s="78"/>
      <c r="I64" s="53"/>
      <c r="J64" s="54"/>
      <c r="K64" s="54"/>
      <c r="L64" s="54"/>
      <c r="M64" s="54"/>
      <c r="N64" s="54"/>
      <c r="O64" s="54"/>
      <c r="P64" s="54"/>
      <c r="Q64" s="54"/>
      <c r="R64" s="55"/>
      <c r="S64" s="7"/>
    </row>
    <row r="65" spans="1:19" ht="15">
      <c r="A65" s="46" t="s">
        <v>29</v>
      </c>
      <c r="B65" s="91"/>
      <c r="C65" s="91"/>
      <c r="D65" s="91"/>
      <c r="E65" s="91"/>
      <c r="F65" s="125"/>
      <c r="G65" s="128"/>
      <c r="H65" s="129"/>
      <c r="I65" s="91"/>
      <c r="J65" s="91"/>
      <c r="K65" s="91"/>
      <c r="L65" s="91"/>
      <c r="M65" s="91"/>
      <c r="N65" s="91"/>
      <c r="O65" s="91"/>
      <c r="P65" s="91"/>
      <c r="Q65" s="91"/>
      <c r="R65" s="13">
        <f t="shared" si="0"/>
        <v>0</v>
      </c>
      <c r="S65" s="7">
        <f aca="true" t="shared" si="10" ref="S65:S130">+R65-E65</f>
        <v>0</v>
      </c>
    </row>
    <row r="66" spans="1:19" ht="15">
      <c r="A66" s="4" t="s">
        <v>150</v>
      </c>
      <c r="B66" s="109">
        <v>1000</v>
      </c>
      <c r="C66" s="64">
        <v>130.56</v>
      </c>
      <c r="D66" s="109">
        <v>1000</v>
      </c>
      <c r="E66" s="109">
        <v>1000</v>
      </c>
      <c r="F66" s="144">
        <f aca="true" t="shared" si="11" ref="F66:F129">+E66-B66</f>
        <v>0</v>
      </c>
      <c r="G66" s="128">
        <f>+E66*0.0814</f>
        <v>81.4</v>
      </c>
      <c r="H66" s="129">
        <f>+E66*0.1212</f>
        <v>121.2</v>
      </c>
      <c r="I66" s="91"/>
      <c r="J66" s="130"/>
      <c r="K66" s="130"/>
      <c r="L66" s="130"/>
      <c r="M66" s="130"/>
      <c r="N66" s="130"/>
      <c r="O66" s="130"/>
      <c r="P66" s="109"/>
      <c r="Q66" s="68">
        <v>794</v>
      </c>
      <c r="R66" s="13">
        <f t="shared" si="0"/>
        <v>996.6</v>
      </c>
      <c r="S66" s="7">
        <f t="shared" si="10"/>
        <v>-3.3999999999999773</v>
      </c>
    </row>
    <row r="67" spans="1:19" ht="15">
      <c r="A67" s="4" t="s">
        <v>151</v>
      </c>
      <c r="B67" s="109">
        <v>2700</v>
      </c>
      <c r="C67" s="64">
        <v>0</v>
      </c>
      <c r="D67" s="109">
        <v>2800</v>
      </c>
      <c r="E67" s="109">
        <v>2800</v>
      </c>
      <c r="F67" s="144">
        <f t="shared" si="11"/>
        <v>100</v>
      </c>
      <c r="G67" s="128">
        <f aca="true" t="shared" si="12" ref="G67:G81">+E67*0.0814</f>
        <v>227.92</v>
      </c>
      <c r="H67" s="129">
        <f aca="true" t="shared" si="13" ref="H67:H82">+E67*0.1212</f>
        <v>339.36</v>
      </c>
      <c r="I67" s="91"/>
      <c r="J67" s="130"/>
      <c r="K67" s="130"/>
      <c r="L67" s="130"/>
      <c r="M67" s="130"/>
      <c r="N67" s="130"/>
      <c r="O67" s="130"/>
      <c r="P67" s="109"/>
      <c r="Q67" s="68">
        <v>2143</v>
      </c>
      <c r="R67" s="13">
        <f t="shared" si="0"/>
        <v>2710.2799999999997</v>
      </c>
      <c r="S67" s="7">
        <f t="shared" si="10"/>
        <v>-89.72000000000025</v>
      </c>
    </row>
    <row r="68" spans="1:19" ht="15">
      <c r="A68" s="4" t="s">
        <v>152</v>
      </c>
      <c r="B68" s="109">
        <v>1000</v>
      </c>
      <c r="C68" s="64">
        <v>86.41</v>
      </c>
      <c r="D68" s="109">
        <v>500</v>
      </c>
      <c r="E68" s="109">
        <v>500</v>
      </c>
      <c r="F68" s="144">
        <f t="shared" si="11"/>
        <v>-500</v>
      </c>
      <c r="G68" s="128">
        <f t="shared" si="12"/>
        <v>40.7</v>
      </c>
      <c r="H68" s="129">
        <f t="shared" si="13"/>
        <v>60.6</v>
      </c>
      <c r="I68" s="91"/>
      <c r="J68" s="130"/>
      <c r="K68" s="130"/>
      <c r="L68" s="130"/>
      <c r="M68" s="130"/>
      <c r="N68" s="130"/>
      <c r="O68" s="130"/>
      <c r="P68" s="109"/>
      <c r="Q68" s="68">
        <v>794</v>
      </c>
      <c r="R68" s="13">
        <f t="shared" si="0"/>
        <v>895.3</v>
      </c>
      <c r="S68" s="7">
        <f t="shared" si="10"/>
        <v>395.29999999999995</v>
      </c>
    </row>
    <row r="69" spans="1:19" ht="15">
      <c r="A69" s="46" t="s">
        <v>30</v>
      </c>
      <c r="B69" s="91"/>
      <c r="C69" s="90"/>
      <c r="D69" s="91"/>
      <c r="E69" s="91"/>
      <c r="F69" s="160">
        <f t="shared" si="11"/>
        <v>0</v>
      </c>
      <c r="G69" s="128">
        <f t="shared" si="12"/>
        <v>0</v>
      </c>
      <c r="H69" s="129">
        <f t="shared" si="13"/>
        <v>0</v>
      </c>
      <c r="I69" s="91"/>
      <c r="J69" s="91"/>
      <c r="K69" s="91"/>
      <c r="L69" s="91"/>
      <c r="M69" s="91"/>
      <c r="N69" s="91"/>
      <c r="O69" s="91"/>
      <c r="P69" s="91"/>
      <c r="Q69" s="91"/>
      <c r="R69" s="13">
        <f t="shared" si="0"/>
        <v>0</v>
      </c>
      <c r="S69" s="7">
        <f t="shared" si="10"/>
        <v>0</v>
      </c>
    </row>
    <row r="70" spans="1:19" ht="15">
      <c r="A70" s="46" t="s">
        <v>31</v>
      </c>
      <c r="B70" s="91"/>
      <c r="C70" s="91"/>
      <c r="D70" s="91"/>
      <c r="E70" s="91"/>
      <c r="F70" s="125">
        <f t="shared" si="11"/>
        <v>0</v>
      </c>
      <c r="G70" s="128">
        <f t="shared" si="12"/>
        <v>0</v>
      </c>
      <c r="H70" s="129">
        <f t="shared" si="13"/>
        <v>0</v>
      </c>
      <c r="I70" s="91"/>
      <c r="J70" s="91"/>
      <c r="K70" s="91"/>
      <c r="L70" s="91"/>
      <c r="M70" s="91"/>
      <c r="N70" s="91"/>
      <c r="O70" s="91"/>
      <c r="P70" s="91"/>
      <c r="Q70" s="91"/>
      <c r="R70" s="13">
        <f t="shared" si="0"/>
        <v>0</v>
      </c>
      <c r="S70" s="7">
        <f t="shared" si="10"/>
        <v>0</v>
      </c>
    </row>
    <row r="71" spans="1:19" ht="15">
      <c r="A71" s="46" t="s">
        <v>32</v>
      </c>
      <c r="B71" s="91"/>
      <c r="C71" s="91"/>
      <c r="D71" s="91"/>
      <c r="E71" s="91"/>
      <c r="F71" s="125">
        <f t="shared" si="11"/>
        <v>0</v>
      </c>
      <c r="G71" s="128">
        <f t="shared" si="12"/>
        <v>0</v>
      </c>
      <c r="H71" s="129">
        <f t="shared" si="13"/>
        <v>0</v>
      </c>
      <c r="I71" s="91"/>
      <c r="J71" s="91"/>
      <c r="K71" s="91"/>
      <c r="L71" s="91"/>
      <c r="M71" s="91"/>
      <c r="N71" s="91"/>
      <c r="O71" s="91"/>
      <c r="P71" s="91"/>
      <c r="Q71" s="91"/>
      <c r="R71" s="13">
        <f t="shared" si="0"/>
        <v>0</v>
      </c>
      <c r="S71" s="7">
        <f t="shared" si="10"/>
        <v>0</v>
      </c>
    </row>
    <row r="72" spans="1:19" ht="15">
      <c r="A72" s="4" t="s">
        <v>172</v>
      </c>
      <c r="B72" s="109">
        <v>2500</v>
      </c>
      <c r="C72" s="64">
        <v>0</v>
      </c>
      <c r="D72" s="109">
        <v>0</v>
      </c>
      <c r="E72" s="109">
        <v>0</v>
      </c>
      <c r="F72" s="144">
        <f t="shared" si="11"/>
        <v>-2500</v>
      </c>
      <c r="G72" s="128">
        <f t="shared" si="12"/>
        <v>0</v>
      </c>
      <c r="H72" s="129">
        <f t="shared" si="13"/>
        <v>0</v>
      </c>
      <c r="I72" s="91"/>
      <c r="J72" s="109"/>
      <c r="K72" s="130"/>
      <c r="L72" s="109"/>
      <c r="M72" s="109"/>
      <c r="N72" s="109"/>
      <c r="O72" s="109"/>
      <c r="P72" s="68"/>
      <c r="Q72" s="68">
        <v>1985</v>
      </c>
      <c r="R72" s="13">
        <f t="shared" si="0"/>
        <v>1985</v>
      </c>
      <c r="S72" s="7">
        <f t="shared" si="10"/>
        <v>1985</v>
      </c>
    </row>
    <row r="73" spans="1:19" ht="15">
      <c r="A73" s="4" t="s">
        <v>117</v>
      </c>
      <c r="B73" s="109">
        <v>1100</v>
      </c>
      <c r="C73" s="64">
        <v>557.88</v>
      </c>
      <c r="D73" s="109">
        <v>1100</v>
      </c>
      <c r="E73" s="109">
        <v>1100</v>
      </c>
      <c r="F73" s="144">
        <f t="shared" si="11"/>
        <v>0</v>
      </c>
      <c r="G73" s="128">
        <f t="shared" si="12"/>
        <v>89.54</v>
      </c>
      <c r="H73" s="129">
        <f t="shared" si="13"/>
        <v>133.32</v>
      </c>
      <c r="I73" s="91"/>
      <c r="J73" s="109"/>
      <c r="K73" s="130"/>
      <c r="L73" s="109"/>
      <c r="M73" s="109"/>
      <c r="N73" s="109"/>
      <c r="O73" s="109"/>
      <c r="P73" s="68"/>
      <c r="Q73" s="68">
        <v>873</v>
      </c>
      <c r="R73" s="13">
        <f t="shared" si="0"/>
        <v>1095.8600000000001</v>
      </c>
      <c r="S73" s="7">
        <f t="shared" si="10"/>
        <v>-4.139999999999873</v>
      </c>
    </row>
    <row r="74" spans="1:19" ht="15">
      <c r="A74" s="4" t="s">
        <v>121</v>
      </c>
      <c r="B74" s="109">
        <v>1200</v>
      </c>
      <c r="C74" s="63">
        <v>429.89</v>
      </c>
      <c r="D74" s="109">
        <v>1000</v>
      </c>
      <c r="E74" s="109">
        <v>1000</v>
      </c>
      <c r="F74" s="144">
        <f t="shared" si="11"/>
        <v>-200</v>
      </c>
      <c r="G74" s="128">
        <f t="shared" si="12"/>
        <v>81.4</v>
      </c>
      <c r="H74" s="129">
        <f t="shared" si="13"/>
        <v>121.2</v>
      </c>
      <c r="I74" s="91"/>
      <c r="J74" s="109"/>
      <c r="K74" s="130"/>
      <c r="L74" s="109"/>
      <c r="M74" s="109"/>
      <c r="N74" s="109"/>
      <c r="O74" s="109"/>
      <c r="P74" s="68"/>
      <c r="Q74" s="68">
        <v>953</v>
      </c>
      <c r="R74" s="13">
        <f t="shared" si="0"/>
        <v>1155.6</v>
      </c>
      <c r="S74" s="7">
        <f t="shared" si="10"/>
        <v>155.5999999999999</v>
      </c>
    </row>
    <row r="75" spans="1:19" ht="15">
      <c r="A75" s="4" t="s">
        <v>33</v>
      </c>
      <c r="B75" s="109">
        <v>1000</v>
      </c>
      <c r="C75" s="63">
        <v>145</v>
      </c>
      <c r="D75" s="109">
        <v>500</v>
      </c>
      <c r="E75" s="109">
        <v>500</v>
      </c>
      <c r="F75" s="144">
        <f t="shared" si="11"/>
        <v>-500</v>
      </c>
      <c r="G75" s="128">
        <f t="shared" si="12"/>
        <v>40.7</v>
      </c>
      <c r="H75" s="129">
        <f t="shared" si="13"/>
        <v>60.6</v>
      </c>
      <c r="I75" s="91"/>
      <c r="J75" s="130"/>
      <c r="K75" s="130"/>
      <c r="L75" s="130"/>
      <c r="M75" s="130"/>
      <c r="N75" s="130"/>
      <c r="O75" s="130"/>
      <c r="P75" s="130"/>
      <c r="Q75" s="68">
        <v>794</v>
      </c>
      <c r="R75" s="13">
        <f t="shared" si="0"/>
        <v>895.3</v>
      </c>
      <c r="S75" s="7">
        <f t="shared" si="10"/>
        <v>395.29999999999995</v>
      </c>
    </row>
    <row r="76" spans="1:19" ht="15">
      <c r="A76" s="4" t="s">
        <v>34</v>
      </c>
      <c r="B76" s="109">
        <v>2500</v>
      </c>
      <c r="C76" s="68">
        <v>1216.44</v>
      </c>
      <c r="D76" s="109">
        <v>2500</v>
      </c>
      <c r="E76" s="109">
        <v>2500</v>
      </c>
      <c r="F76" s="144">
        <f t="shared" si="11"/>
        <v>0</v>
      </c>
      <c r="G76" s="128">
        <f t="shared" si="12"/>
        <v>203.5</v>
      </c>
      <c r="H76" s="129">
        <f t="shared" si="13"/>
        <v>303</v>
      </c>
      <c r="I76" s="91"/>
      <c r="J76" s="109"/>
      <c r="K76" s="130"/>
      <c r="L76" s="109"/>
      <c r="M76" s="109"/>
      <c r="N76" s="109"/>
      <c r="O76" s="109"/>
      <c r="P76" s="68"/>
      <c r="Q76" s="68">
        <v>1985</v>
      </c>
      <c r="R76" s="13">
        <f t="shared" si="0"/>
        <v>2491.5</v>
      </c>
      <c r="S76" s="7">
        <f t="shared" si="10"/>
        <v>-8.5</v>
      </c>
    </row>
    <row r="77" spans="1:19" ht="15">
      <c r="A77" s="46" t="s">
        <v>35</v>
      </c>
      <c r="B77" s="91"/>
      <c r="C77" s="90"/>
      <c r="D77" s="91"/>
      <c r="E77" s="91"/>
      <c r="F77" s="125">
        <f t="shared" si="11"/>
        <v>0</v>
      </c>
      <c r="G77" s="128">
        <f t="shared" si="12"/>
        <v>0</v>
      </c>
      <c r="H77" s="129">
        <f t="shared" si="13"/>
        <v>0</v>
      </c>
      <c r="I77" s="91"/>
      <c r="J77" s="91"/>
      <c r="K77" s="91"/>
      <c r="L77" s="91"/>
      <c r="M77" s="91"/>
      <c r="N77" s="91"/>
      <c r="O77" s="91"/>
      <c r="P77" s="91"/>
      <c r="Q77" s="91"/>
      <c r="R77" s="13">
        <f t="shared" si="0"/>
        <v>0</v>
      </c>
      <c r="S77" s="7">
        <f t="shared" si="10"/>
        <v>0</v>
      </c>
    </row>
    <row r="78" spans="1:19" ht="15">
      <c r="A78" s="4" t="s">
        <v>36</v>
      </c>
      <c r="B78" s="109">
        <v>38400</v>
      </c>
      <c r="C78" s="63">
        <v>19200</v>
      </c>
      <c r="D78" s="109">
        <v>38400</v>
      </c>
      <c r="E78" s="109">
        <v>38400</v>
      </c>
      <c r="F78" s="144">
        <f t="shared" si="11"/>
        <v>0</v>
      </c>
      <c r="G78" s="128">
        <f t="shared" si="12"/>
        <v>3125.76</v>
      </c>
      <c r="H78" s="129">
        <f t="shared" si="13"/>
        <v>4654.08</v>
      </c>
      <c r="I78" s="91"/>
      <c r="J78" s="68"/>
      <c r="K78" s="130"/>
      <c r="L78" s="109"/>
      <c r="M78" s="109"/>
      <c r="N78" s="109"/>
      <c r="O78" s="109"/>
      <c r="P78" s="130"/>
      <c r="Q78" s="68">
        <v>30482</v>
      </c>
      <c r="R78" s="13">
        <f aca="true" t="shared" si="14" ref="R78:R131">SUM(G78:Q78)</f>
        <v>38261.84</v>
      </c>
      <c r="S78" s="7">
        <f t="shared" si="10"/>
        <v>-138.1600000000035</v>
      </c>
    </row>
    <row r="79" spans="1:19" ht="15">
      <c r="A79" s="4" t="s">
        <v>37</v>
      </c>
      <c r="B79" s="109">
        <v>1600</v>
      </c>
      <c r="C79" s="68">
        <v>600</v>
      </c>
      <c r="D79" s="109">
        <v>1300</v>
      </c>
      <c r="E79" s="109">
        <v>1300</v>
      </c>
      <c r="F79" s="144">
        <f t="shared" si="11"/>
        <v>-300</v>
      </c>
      <c r="G79" s="128">
        <f t="shared" si="12"/>
        <v>105.82</v>
      </c>
      <c r="H79" s="129">
        <f t="shared" si="13"/>
        <v>157.56</v>
      </c>
      <c r="I79" s="91"/>
      <c r="J79" s="68"/>
      <c r="K79" s="130"/>
      <c r="L79" s="109"/>
      <c r="M79" s="109"/>
      <c r="N79" s="109"/>
      <c r="O79" s="109"/>
      <c r="P79" s="130"/>
      <c r="Q79" s="68">
        <v>1270</v>
      </c>
      <c r="R79" s="13">
        <f t="shared" si="14"/>
        <v>1533.38</v>
      </c>
      <c r="S79" s="7">
        <f t="shared" si="10"/>
        <v>233.3800000000001</v>
      </c>
    </row>
    <row r="80" spans="1:19" ht="15">
      <c r="A80" s="46" t="s">
        <v>38</v>
      </c>
      <c r="B80" s="91"/>
      <c r="C80" s="90"/>
      <c r="D80" s="91"/>
      <c r="E80" s="91"/>
      <c r="F80" s="125">
        <f t="shared" si="11"/>
        <v>0</v>
      </c>
      <c r="G80" s="128">
        <f t="shared" si="12"/>
        <v>0</v>
      </c>
      <c r="H80" s="129">
        <f t="shared" si="13"/>
        <v>0</v>
      </c>
      <c r="I80" s="91"/>
      <c r="J80" s="91"/>
      <c r="K80" s="91"/>
      <c r="L80" s="91"/>
      <c r="M80" s="91"/>
      <c r="N80" s="91"/>
      <c r="O80" s="91"/>
      <c r="P80" s="91"/>
      <c r="Q80" s="91"/>
      <c r="R80" s="13">
        <f t="shared" si="14"/>
        <v>0</v>
      </c>
      <c r="S80" s="7">
        <f t="shared" si="10"/>
        <v>0</v>
      </c>
    </row>
    <row r="81" spans="1:19" ht="15">
      <c r="A81" s="4" t="s">
        <v>127</v>
      </c>
      <c r="B81" s="109">
        <v>11000</v>
      </c>
      <c r="C81" s="68">
        <v>7828.6</v>
      </c>
      <c r="D81" s="109">
        <v>14400</v>
      </c>
      <c r="E81" s="109">
        <v>14400</v>
      </c>
      <c r="F81" s="144">
        <f t="shared" si="11"/>
        <v>3400</v>
      </c>
      <c r="G81" s="128">
        <f t="shared" si="12"/>
        <v>1172.16</v>
      </c>
      <c r="H81" s="129">
        <f t="shared" si="13"/>
        <v>1745.28</v>
      </c>
      <c r="I81" s="91"/>
      <c r="J81" s="109"/>
      <c r="K81" s="130"/>
      <c r="L81" s="130"/>
      <c r="M81" s="130"/>
      <c r="N81" s="130"/>
      <c r="O81" s="130"/>
      <c r="P81" s="130"/>
      <c r="Q81" s="68">
        <v>8732</v>
      </c>
      <c r="R81" s="13">
        <f t="shared" si="14"/>
        <v>11649.44</v>
      </c>
      <c r="S81" s="7">
        <f t="shared" si="10"/>
        <v>-2750.5599999999995</v>
      </c>
    </row>
    <row r="82" spans="1:19" ht="15">
      <c r="A82" s="46" t="s">
        <v>39</v>
      </c>
      <c r="B82" s="91"/>
      <c r="C82" s="90"/>
      <c r="D82" s="91"/>
      <c r="E82" s="91"/>
      <c r="F82" s="125">
        <f t="shared" si="11"/>
        <v>0</v>
      </c>
      <c r="G82" s="128">
        <f>+E82*0.0861</f>
        <v>0</v>
      </c>
      <c r="H82" s="129">
        <f t="shared" si="13"/>
        <v>0</v>
      </c>
      <c r="I82" s="91"/>
      <c r="J82" s="91"/>
      <c r="K82" s="91"/>
      <c r="L82" s="91"/>
      <c r="M82" s="91"/>
      <c r="N82" s="91"/>
      <c r="O82" s="91"/>
      <c r="P82" s="91"/>
      <c r="Q82" s="91"/>
      <c r="R82" s="13">
        <f t="shared" si="14"/>
        <v>0</v>
      </c>
      <c r="S82" s="7">
        <f t="shared" si="10"/>
        <v>0</v>
      </c>
    </row>
    <row r="83" spans="1:19" ht="15">
      <c r="A83" s="51" t="s">
        <v>128</v>
      </c>
      <c r="B83" s="68">
        <v>418145</v>
      </c>
      <c r="C83" s="64">
        <v>164459.896</v>
      </c>
      <c r="D83" s="68">
        <v>495958.83999999997</v>
      </c>
      <c r="E83" s="68">
        <v>420461</v>
      </c>
      <c r="F83" s="144">
        <f t="shared" si="11"/>
        <v>2316</v>
      </c>
      <c r="G83" s="128">
        <f>+ADC!E20</f>
        <v>139596.6</v>
      </c>
      <c r="H83" s="129">
        <f>+Nutrition!E17</f>
        <v>94462.16</v>
      </c>
      <c r="I83" s="91"/>
      <c r="J83" s="161"/>
      <c r="K83" s="130"/>
      <c r="L83" s="68"/>
      <c r="M83" s="68"/>
      <c r="N83" s="68"/>
      <c r="O83" s="68"/>
      <c r="P83" s="68"/>
      <c r="Q83" s="68">
        <v>206669</v>
      </c>
      <c r="R83" s="13">
        <f t="shared" si="14"/>
        <v>440727.76</v>
      </c>
      <c r="S83" s="7">
        <f t="shared" si="10"/>
        <v>20266.76000000001</v>
      </c>
    </row>
    <row r="84" spans="1:19" ht="15">
      <c r="A84" s="51" t="s">
        <v>129</v>
      </c>
      <c r="B84" s="68">
        <v>31106</v>
      </c>
      <c r="C84" s="64">
        <v>14022.9</v>
      </c>
      <c r="D84" s="68">
        <v>36103.01526</v>
      </c>
      <c r="E84" s="68">
        <v>32165</v>
      </c>
      <c r="F84" s="144">
        <f t="shared" si="11"/>
        <v>1059</v>
      </c>
      <c r="G84" s="128">
        <f>+ADC!F20</f>
        <v>8841.303899999999</v>
      </c>
      <c r="H84" s="129">
        <f>+Nutrition!F17</f>
        <v>7226.35524</v>
      </c>
      <c r="I84" s="91"/>
      <c r="J84" s="161"/>
      <c r="K84" s="130"/>
      <c r="L84" s="68"/>
      <c r="M84" s="68"/>
      <c r="N84" s="68"/>
      <c r="O84" s="68"/>
      <c r="P84" s="68"/>
      <c r="Q84" s="68">
        <v>15810</v>
      </c>
      <c r="R84" s="13">
        <f t="shared" si="14"/>
        <v>31877.65914</v>
      </c>
      <c r="S84" s="7">
        <f t="shared" si="10"/>
        <v>-287.34086000000025</v>
      </c>
    </row>
    <row r="85" spans="1:19" ht="15">
      <c r="A85" s="51" t="s">
        <v>130</v>
      </c>
      <c r="B85" s="68">
        <v>2869</v>
      </c>
      <c r="C85" s="64">
        <v>147</v>
      </c>
      <c r="D85" s="68">
        <v>2679.8778</v>
      </c>
      <c r="E85" s="68">
        <v>2762</v>
      </c>
      <c r="F85" s="144">
        <f t="shared" si="11"/>
        <v>-107</v>
      </c>
      <c r="G85" s="128">
        <f>+ADC!G20</f>
        <v>720.016</v>
      </c>
      <c r="H85" s="129">
        <f>+Nutrition!G17</f>
        <v>540</v>
      </c>
      <c r="I85" s="91"/>
      <c r="J85" s="161"/>
      <c r="K85" s="130"/>
      <c r="L85" s="68"/>
      <c r="M85" s="68"/>
      <c r="N85" s="68"/>
      <c r="O85" s="68"/>
      <c r="P85" s="68"/>
      <c r="Q85" s="68">
        <v>1477</v>
      </c>
      <c r="R85" s="13">
        <f t="shared" si="14"/>
        <v>2737.016</v>
      </c>
      <c r="S85" s="7">
        <f t="shared" si="10"/>
        <v>-24.983999999999924</v>
      </c>
    </row>
    <row r="86" spans="1:19" ht="15">
      <c r="A86" s="51" t="s">
        <v>131</v>
      </c>
      <c r="B86" s="68">
        <v>5710</v>
      </c>
      <c r="C86" s="64">
        <v>3939</v>
      </c>
      <c r="D86" s="68">
        <v>5986.601446799999</v>
      </c>
      <c r="E86" s="68">
        <v>6095</v>
      </c>
      <c r="F86" s="144">
        <f t="shared" si="11"/>
        <v>385</v>
      </c>
      <c r="G86" s="128">
        <f>+ADC!H20</f>
        <v>1907.0843999999997</v>
      </c>
      <c r="H86" s="129">
        <f>+Nutrition!H17</f>
        <v>1613.3748799999998</v>
      </c>
      <c r="I86" s="91"/>
      <c r="J86" s="161"/>
      <c r="K86" s="130"/>
      <c r="L86" s="68"/>
      <c r="M86" s="68"/>
      <c r="N86" s="68"/>
      <c r="O86" s="68"/>
      <c r="P86" s="68"/>
      <c r="Q86" s="68">
        <v>1055</v>
      </c>
      <c r="R86" s="13">
        <f t="shared" si="14"/>
        <v>4575.459279999999</v>
      </c>
      <c r="S86" s="7">
        <f t="shared" si="10"/>
        <v>-1519.5407200000009</v>
      </c>
    </row>
    <row r="87" spans="1:19" ht="15">
      <c r="A87" s="46" t="s">
        <v>40</v>
      </c>
      <c r="B87" s="91">
        <v>-15000</v>
      </c>
      <c r="C87" s="90"/>
      <c r="D87" s="91"/>
      <c r="E87" s="91"/>
      <c r="F87" s="125">
        <f t="shared" si="11"/>
        <v>15000</v>
      </c>
      <c r="G87" s="128"/>
      <c r="H87" s="129"/>
      <c r="I87" s="91"/>
      <c r="J87" s="91"/>
      <c r="K87" s="91"/>
      <c r="L87" s="91"/>
      <c r="M87" s="91"/>
      <c r="N87" s="91"/>
      <c r="O87" s="91"/>
      <c r="P87" s="91"/>
      <c r="Q87" s="91"/>
      <c r="R87" s="13">
        <f t="shared" si="14"/>
        <v>0</v>
      </c>
      <c r="S87" s="7">
        <f t="shared" si="10"/>
        <v>0</v>
      </c>
    </row>
    <row r="88" spans="1:19" ht="15">
      <c r="A88" s="4" t="s">
        <v>132</v>
      </c>
      <c r="B88" s="68">
        <v>3527</v>
      </c>
      <c r="C88" s="63">
        <v>984.78</v>
      </c>
      <c r="D88" s="68">
        <v>3135.04</v>
      </c>
      <c r="E88" s="68">
        <f>+'$1 increase'!I47</f>
        <v>3433.32</v>
      </c>
      <c r="F88" s="144">
        <f t="shared" si="11"/>
        <v>-93.67999999999984</v>
      </c>
      <c r="G88" s="128">
        <f>+ADC!I20</f>
        <v>762.96</v>
      </c>
      <c r="H88" s="129">
        <f>+Nutrition!I17</f>
        <v>381.48</v>
      </c>
      <c r="I88" s="91"/>
      <c r="J88" s="68"/>
      <c r="K88" s="130"/>
      <c r="L88" s="68"/>
      <c r="M88" s="68"/>
      <c r="N88" s="68"/>
      <c r="O88" s="68"/>
      <c r="P88" s="68"/>
      <c r="Q88" s="68">
        <v>1959</v>
      </c>
      <c r="R88" s="13">
        <f t="shared" si="14"/>
        <v>3103.44</v>
      </c>
      <c r="S88" s="7">
        <f t="shared" si="10"/>
        <v>-329.8800000000001</v>
      </c>
    </row>
    <row r="89" spans="1:19" ht="15">
      <c r="A89" s="4" t="s">
        <v>133</v>
      </c>
      <c r="B89" s="68">
        <v>7801</v>
      </c>
      <c r="C89" s="63">
        <v>2863.78</v>
      </c>
      <c r="D89" s="68">
        <v>9220.036799999998</v>
      </c>
      <c r="E89" s="68">
        <v>8286</v>
      </c>
      <c r="F89" s="144">
        <f t="shared" si="11"/>
        <v>485</v>
      </c>
      <c r="G89" s="128">
        <f>+ADC!J20</f>
        <v>2478.138</v>
      </c>
      <c r="H89" s="129">
        <f>+Nutrition!K17</f>
        <v>1510.9848000000002</v>
      </c>
      <c r="I89" s="91"/>
      <c r="J89" s="68"/>
      <c r="K89" s="130"/>
      <c r="L89" s="68"/>
      <c r="M89" s="68"/>
      <c r="N89" s="68"/>
      <c r="O89" s="68"/>
      <c r="P89" s="68"/>
      <c r="Q89" s="68">
        <v>3992</v>
      </c>
      <c r="R89" s="13">
        <f t="shared" si="14"/>
        <v>7981.1228</v>
      </c>
      <c r="S89" s="7">
        <f t="shared" si="10"/>
        <v>-304.8771999999999</v>
      </c>
    </row>
    <row r="90" spans="1:19" ht="15">
      <c r="A90" s="4" t="s">
        <v>134</v>
      </c>
      <c r="B90" s="68">
        <v>7801</v>
      </c>
      <c r="C90" s="63">
        <v>2872.78</v>
      </c>
      <c r="D90" s="68">
        <v>9220.036799999998</v>
      </c>
      <c r="E90" s="68">
        <v>8286</v>
      </c>
      <c r="F90" s="144">
        <f t="shared" si="11"/>
        <v>485</v>
      </c>
      <c r="G90" s="128">
        <f>+ADC!K20</f>
        <v>2478.138</v>
      </c>
      <c r="H90" s="129">
        <f>+Nutrition!J17</f>
        <v>1510.9848000000002</v>
      </c>
      <c r="I90" s="91"/>
      <c r="J90" s="68"/>
      <c r="K90" s="130"/>
      <c r="L90" s="68"/>
      <c r="M90" s="68"/>
      <c r="N90" s="68"/>
      <c r="O90" s="68"/>
      <c r="P90" s="68"/>
      <c r="Q90" s="68">
        <v>4524</v>
      </c>
      <c r="R90" s="13">
        <f t="shared" si="14"/>
        <v>8513.122800000001</v>
      </c>
      <c r="S90" s="7">
        <f t="shared" si="10"/>
        <v>227.122800000001</v>
      </c>
    </row>
    <row r="91" spans="1:19" ht="15">
      <c r="A91" s="4" t="s">
        <v>135</v>
      </c>
      <c r="B91" s="68">
        <v>1150</v>
      </c>
      <c r="C91" s="68">
        <v>1100</v>
      </c>
      <c r="D91" s="68">
        <v>1150</v>
      </c>
      <c r="E91" s="68">
        <v>1150</v>
      </c>
      <c r="F91" s="144">
        <f t="shared" si="11"/>
        <v>0</v>
      </c>
      <c r="G91" s="128">
        <v>400</v>
      </c>
      <c r="H91" s="129">
        <v>250</v>
      </c>
      <c r="I91" s="91"/>
      <c r="J91" s="68"/>
      <c r="K91" s="130"/>
      <c r="L91" s="68"/>
      <c r="M91" s="68"/>
      <c r="N91" s="68"/>
      <c r="O91" s="68"/>
      <c r="P91" s="68"/>
      <c r="Q91" s="68">
        <v>500</v>
      </c>
      <c r="R91" s="13">
        <f t="shared" si="14"/>
        <v>1150</v>
      </c>
      <c r="S91" s="7">
        <f t="shared" si="10"/>
        <v>0</v>
      </c>
    </row>
    <row r="92" spans="1:19" ht="15">
      <c r="A92" s="46" t="s">
        <v>41</v>
      </c>
      <c r="B92" s="91"/>
      <c r="C92" s="90"/>
      <c r="D92" s="91"/>
      <c r="E92" s="91"/>
      <c r="F92" s="125">
        <f t="shared" si="11"/>
        <v>0</v>
      </c>
      <c r="G92" s="128"/>
      <c r="H92" s="129"/>
      <c r="I92" s="91"/>
      <c r="J92" s="91"/>
      <c r="K92" s="91"/>
      <c r="L92" s="91"/>
      <c r="M92" s="91"/>
      <c r="N92" s="91"/>
      <c r="O92" s="91"/>
      <c r="P92" s="91"/>
      <c r="Q92" s="91"/>
      <c r="R92" s="13">
        <f t="shared" si="14"/>
        <v>0</v>
      </c>
      <c r="S92" s="7">
        <f t="shared" si="10"/>
        <v>0</v>
      </c>
    </row>
    <row r="93" spans="1:19" ht="15">
      <c r="A93" s="46" t="s">
        <v>42</v>
      </c>
      <c r="B93" s="91">
        <v>2000</v>
      </c>
      <c r="C93" s="91">
        <v>7709.88</v>
      </c>
      <c r="D93" s="91">
        <v>2000</v>
      </c>
      <c r="E93" s="91">
        <v>2000</v>
      </c>
      <c r="F93" s="125">
        <f t="shared" si="11"/>
        <v>0</v>
      </c>
      <c r="G93" s="128">
        <f aca="true" t="shared" si="15" ref="G93:G130">+E93*0.0814</f>
        <v>162.8</v>
      </c>
      <c r="H93" s="129">
        <f aca="true" t="shared" si="16" ref="H93:H130">+E93*0.1212</f>
        <v>242.4</v>
      </c>
      <c r="I93" s="91"/>
      <c r="J93" s="91"/>
      <c r="K93" s="91"/>
      <c r="L93" s="91"/>
      <c r="M93" s="91"/>
      <c r="N93" s="91"/>
      <c r="O93" s="91"/>
      <c r="P93" s="91"/>
      <c r="Q93" s="91">
        <v>8732</v>
      </c>
      <c r="R93" s="13">
        <f t="shared" si="14"/>
        <v>9137.2</v>
      </c>
      <c r="S93" s="7">
        <f t="shared" si="10"/>
        <v>7137.200000000001</v>
      </c>
    </row>
    <row r="94" spans="1:19" ht="15">
      <c r="A94" s="46" t="s">
        <v>43</v>
      </c>
      <c r="B94" s="91"/>
      <c r="C94" s="90"/>
      <c r="D94" s="91"/>
      <c r="E94" s="91"/>
      <c r="F94" s="125">
        <f t="shared" si="11"/>
        <v>0</v>
      </c>
      <c r="G94" s="128">
        <f t="shared" si="15"/>
        <v>0</v>
      </c>
      <c r="H94" s="129">
        <f t="shared" si="16"/>
        <v>0</v>
      </c>
      <c r="I94" s="91"/>
      <c r="J94" s="91"/>
      <c r="K94" s="91"/>
      <c r="L94" s="91"/>
      <c r="M94" s="91"/>
      <c r="N94" s="91"/>
      <c r="O94" s="91"/>
      <c r="P94" s="91"/>
      <c r="Q94" s="91"/>
      <c r="R94" s="13">
        <f t="shared" si="14"/>
        <v>0</v>
      </c>
      <c r="S94" s="7">
        <f t="shared" si="10"/>
        <v>0</v>
      </c>
    </row>
    <row r="95" spans="1:19" ht="15">
      <c r="A95" s="4" t="s">
        <v>136</v>
      </c>
      <c r="B95" s="68">
        <v>48000</v>
      </c>
      <c r="C95" s="64">
        <v>19177.1</v>
      </c>
      <c r="D95" s="68">
        <v>40000</v>
      </c>
      <c r="E95" s="68">
        <v>30100</v>
      </c>
      <c r="F95" s="144">
        <f t="shared" si="11"/>
        <v>-17900</v>
      </c>
      <c r="G95" s="128"/>
      <c r="H95" s="129">
        <v>43600</v>
      </c>
      <c r="I95" s="91"/>
      <c r="J95" s="68"/>
      <c r="K95" s="130"/>
      <c r="L95" s="130"/>
      <c r="M95" s="130"/>
      <c r="N95" s="130"/>
      <c r="O95" s="130"/>
      <c r="P95" s="130"/>
      <c r="Q95" s="68"/>
      <c r="R95" s="13">
        <f t="shared" si="14"/>
        <v>43600</v>
      </c>
      <c r="S95" s="7">
        <f t="shared" si="10"/>
        <v>13500</v>
      </c>
    </row>
    <row r="96" spans="1:19" ht="15">
      <c r="A96" s="4" t="s">
        <v>138</v>
      </c>
      <c r="B96" s="109">
        <v>100</v>
      </c>
      <c r="C96" s="64">
        <v>30</v>
      </c>
      <c r="D96" s="109">
        <v>100</v>
      </c>
      <c r="E96" s="109">
        <v>100</v>
      </c>
      <c r="F96" s="144">
        <f t="shared" si="11"/>
        <v>0</v>
      </c>
      <c r="G96" s="128"/>
      <c r="H96" s="129">
        <v>100</v>
      </c>
      <c r="I96" s="91"/>
      <c r="J96" s="130"/>
      <c r="K96" s="130"/>
      <c r="L96" s="130"/>
      <c r="M96" s="130"/>
      <c r="N96" s="130"/>
      <c r="O96" s="130"/>
      <c r="P96" s="130"/>
      <c r="Q96" s="68">
        <v>79</v>
      </c>
      <c r="R96" s="13">
        <f t="shared" si="14"/>
        <v>179</v>
      </c>
      <c r="S96" s="7">
        <f t="shared" si="10"/>
        <v>79</v>
      </c>
    </row>
    <row r="97" spans="1:19" ht="15">
      <c r="A97" s="4" t="s">
        <v>137</v>
      </c>
      <c r="B97" s="109">
        <v>8500</v>
      </c>
      <c r="C97" s="68">
        <v>3181.27</v>
      </c>
      <c r="D97" s="109">
        <v>6000</v>
      </c>
      <c r="E97" s="109">
        <v>4500</v>
      </c>
      <c r="F97" s="144">
        <f t="shared" si="11"/>
        <v>-4000</v>
      </c>
      <c r="G97" s="128"/>
      <c r="H97" s="129">
        <v>6500</v>
      </c>
      <c r="I97" s="91"/>
      <c r="J97" s="68"/>
      <c r="K97" s="130"/>
      <c r="L97" s="130"/>
      <c r="M97" s="130"/>
      <c r="N97" s="130"/>
      <c r="O97" s="130"/>
      <c r="P97" s="130"/>
      <c r="Q97" s="68"/>
      <c r="R97" s="13">
        <f t="shared" si="14"/>
        <v>6500</v>
      </c>
      <c r="S97" s="7">
        <f t="shared" si="10"/>
        <v>2000</v>
      </c>
    </row>
    <row r="98" spans="1:19" ht="15">
      <c r="A98" s="46" t="s">
        <v>44</v>
      </c>
      <c r="B98" s="91"/>
      <c r="C98" s="90"/>
      <c r="D98" s="91"/>
      <c r="E98" s="91"/>
      <c r="F98" s="125">
        <f t="shared" si="11"/>
        <v>0</v>
      </c>
      <c r="G98" s="128">
        <f t="shared" si="15"/>
        <v>0</v>
      </c>
      <c r="H98" s="129">
        <f t="shared" si="16"/>
        <v>0</v>
      </c>
      <c r="I98" s="91"/>
      <c r="J98" s="91"/>
      <c r="K98" s="91"/>
      <c r="L98" s="91"/>
      <c r="M98" s="91"/>
      <c r="N98" s="91"/>
      <c r="O98" s="91"/>
      <c r="P98" s="91"/>
      <c r="Q98" s="91"/>
      <c r="R98" s="13">
        <f t="shared" si="14"/>
        <v>0</v>
      </c>
      <c r="S98" s="7">
        <f t="shared" si="10"/>
        <v>0</v>
      </c>
    </row>
    <row r="99" spans="1:19" ht="15">
      <c r="A99" s="4" t="s">
        <v>160</v>
      </c>
      <c r="B99" s="109">
        <v>2800</v>
      </c>
      <c r="C99" s="63">
        <v>0</v>
      </c>
      <c r="D99" s="109">
        <v>2820</v>
      </c>
      <c r="E99" s="109">
        <v>2820</v>
      </c>
      <c r="F99" s="144">
        <f t="shared" si="11"/>
        <v>20</v>
      </c>
      <c r="G99" s="128">
        <f t="shared" si="15"/>
        <v>229.548</v>
      </c>
      <c r="H99" s="129">
        <f t="shared" si="16"/>
        <v>341.784</v>
      </c>
      <c r="I99" s="91"/>
      <c r="J99" s="130"/>
      <c r="K99" s="130"/>
      <c r="L99" s="130"/>
      <c r="M99" s="130"/>
      <c r="N99" s="130"/>
      <c r="O99" s="130"/>
      <c r="P99" s="130"/>
      <c r="Q99" s="68">
        <v>2223</v>
      </c>
      <c r="R99" s="13">
        <f t="shared" si="14"/>
        <v>2794.332</v>
      </c>
      <c r="S99" s="7">
        <f t="shared" si="10"/>
        <v>-25.66800000000012</v>
      </c>
    </row>
    <row r="100" spans="1:19" ht="15">
      <c r="A100" s="4" t="s">
        <v>161</v>
      </c>
      <c r="B100" s="109">
        <v>2310</v>
      </c>
      <c r="C100" s="64">
        <v>0</v>
      </c>
      <c r="D100" s="109">
        <v>2338</v>
      </c>
      <c r="E100" s="109">
        <v>2338</v>
      </c>
      <c r="F100" s="144">
        <f t="shared" si="11"/>
        <v>28</v>
      </c>
      <c r="G100" s="128">
        <f t="shared" si="15"/>
        <v>190.3132</v>
      </c>
      <c r="H100" s="129">
        <f t="shared" si="16"/>
        <v>283.36560000000003</v>
      </c>
      <c r="I100" s="91"/>
      <c r="J100" s="130"/>
      <c r="K100" s="130"/>
      <c r="L100" s="130"/>
      <c r="M100" s="130"/>
      <c r="N100" s="130"/>
      <c r="O100" s="130"/>
      <c r="P100" s="130"/>
      <c r="Q100" s="68">
        <v>1834</v>
      </c>
      <c r="R100" s="13">
        <f t="shared" si="14"/>
        <v>2307.6788</v>
      </c>
      <c r="S100" s="7">
        <f t="shared" si="10"/>
        <v>-30.321199999999862</v>
      </c>
    </row>
    <row r="101" spans="1:19" ht="15">
      <c r="A101" s="4" t="s">
        <v>162</v>
      </c>
      <c r="B101" s="109">
        <v>816</v>
      </c>
      <c r="C101" s="68">
        <v>0</v>
      </c>
      <c r="D101" s="109">
        <v>842</v>
      </c>
      <c r="E101" s="109">
        <v>842</v>
      </c>
      <c r="F101" s="144">
        <f t="shared" si="11"/>
        <v>26</v>
      </c>
      <c r="G101" s="128">
        <f t="shared" si="15"/>
        <v>68.5388</v>
      </c>
      <c r="H101" s="129">
        <f t="shared" si="16"/>
        <v>102.0504</v>
      </c>
      <c r="I101" s="91"/>
      <c r="J101" s="130"/>
      <c r="K101" s="130"/>
      <c r="L101" s="130"/>
      <c r="M101" s="130"/>
      <c r="N101" s="130"/>
      <c r="O101" s="130"/>
      <c r="P101" s="130"/>
      <c r="Q101" s="68">
        <v>648</v>
      </c>
      <c r="R101" s="13">
        <f t="shared" si="14"/>
        <v>818.5892</v>
      </c>
      <c r="S101" s="7">
        <f t="shared" si="10"/>
        <v>-23.410799999999995</v>
      </c>
    </row>
    <row r="102" spans="1:19" ht="15">
      <c r="A102" s="46" t="s">
        <v>45</v>
      </c>
      <c r="B102" s="91"/>
      <c r="C102" s="90"/>
      <c r="D102" s="91"/>
      <c r="E102" s="91"/>
      <c r="F102" s="125">
        <f t="shared" si="11"/>
        <v>0</v>
      </c>
      <c r="G102" s="128">
        <f t="shared" si="15"/>
        <v>0</v>
      </c>
      <c r="H102" s="129">
        <f t="shared" si="16"/>
        <v>0</v>
      </c>
      <c r="I102" s="91"/>
      <c r="J102" s="91"/>
      <c r="K102" s="91"/>
      <c r="L102" s="91"/>
      <c r="M102" s="91"/>
      <c r="N102" s="91"/>
      <c r="O102" s="91"/>
      <c r="P102" s="91"/>
      <c r="Q102" s="91"/>
      <c r="R102" s="13">
        <f t="shared" si="14"/>
        <v>0</v>
      </c>
      <c r="S102" s="7">
        <f t="shared" si="10"/>
        <v>0</v>
      </c>
    </row>
    <row r="103" spans="1:19" ht="15">
      <c r="A103" s="4" t="s">
        <v>139</v>
      </c>
      <c r="B103" s="109">
        <v>8000</v>
      </c>
      <c r="C103" s="64">
        <v>9450</v>
      </c>
      <c r="D103" s="109">
        <v>9500</v>
      </c>
      <c r="E103" s="109">
        <v>9500</v>
      </c>
      <c r="F103" s="144">
        <f t="shared" si="11"/>
        <v>1500</v>
      </c>
      <c r="G103" s="128">
        <f t="shared" si="15"/>
        <v>773.3</v>
      </c>
      <c r="H103" s="129">
        <f t="shared" si="16"/>
        <v>1151.4</v>
      </c>
      <c r="I103" s="91"/>
      <c r="J103" s="130"/>
      <c r="K103" s="130"/>
      <c r="L103" s="130"/>
      <c r="M103" s="130"/>
      <c r="N103" s="130"/>
      <c r="O103" s="130"/>
      <c r="P103" s="130"/>
      <c r="Q103" s="68">
        <v>6350</v>
      </c>
      <c r="R103" s="13">
        <f t="shared" si="14"/>
        <v>8274.7</v>
      </c>
      <c r="S103" s="7">
        <f t="shared" si="10"/>
        <v>-1225.2999999999993</v>
      </c>
    </row>
    <row r="104" spans="1:19" ht="15">
      <c r="A104" s="4" t="s">
        <v>163</v>
      </c>
      <c r="B104" s="109">
        <v>500</v>
      </c>
      <c r="C104" s="63">
        <v>0</v>
      </c>
      <c r="D104" s="109">
        <v>500</v>
      </c>
      <c r="E104" s="109">
        <v>500</v>
      </c>
      <c r="F104" s="144">
        <f t="shared" si="11"/>
        <v>0</v>
      </c>
      <c r="G104" s="128">
        <f t="shared" si="15"/>
        <v>40.7</v>
      </c>
      <c r="H104" s="129">
        <f t="shared" si="16"/>
        <v>60.6</v>
      </c>
      <c r="I104" s="91"/>
      <c r="J104" s="130"/>
      <c r="K104" s="130"/>
      <c r="L104" s="130"/>
      <c r="M104" s="130"/>
      <c r="N104" s="130"/>
      <c r="O104" s="130"/>
      <c r="P104" s="130"/>
      <c r="Q104" s="68">
        <v>397</v>
      </c>
      <c r="R104" s="13">
        <f t="shared" si="14"/>
        <v>498.3</v>
      </c>
      <c r="S104" s="7">
        <f t="shared" si="10"/>
        <v>-1.6999999999999886</v>
      </c>
    </row>
    <row r="105" spans="1:19" ht="15">
      <c r="A105" s="4" t="s">
        <v>164</v>
      </c>
      <c r="B105" s="109">
        <v>900</v>
      </c>
      <c r="C105" s="68">
        <v>410.86</v>
      </c>
      <c r="D105" s="109">
        <v>900</v>
      </c>
      <c r="E105" s="109">
        <v>900</v>
      </c>
      <c r="F105" s="144">
        <f t="shared" si="11"/>
        <v>0</v>
      </c>
      <c r="G105" s="128">
        <f t="shared" si="15"/>
        <v>73.26</v>
      </c>
      <c r="H105" s="129">
        <f t="shared" si="16"/>
        <v>109.08</v>
      </c>
      <c r="I105" s="91"/>
      <c r="J105" s="130"/>
      <c r="K105" s="130"/>
      <c r="L105" s="130"/>
      <c r="M105" s="130"/>
      <c r="N105" s="130"/>
      <c r="O105" s="130"/>
      <c r="P105" s="130"/>
      <c r="Q105" s="68">
        <v>714</v>
      </c>
      <c r="R105" s="13">
        <f t="shared" si="14"/>
        <v>896.34</v>
      </c>
      <c r="S105" s="7">
        <f t="shared" si="10"/>
        <v>-3.659999999999968</v>
      </c>
    </row>
    <row r="106" spans="1:19" ht="15">
      <c r="A106" s="46" t="s">
        <v>46</v>
      </c>
      <c r="B106" s="91"/>
      <c r="C106" s="90"/>
      <c r="D106" s="91"/>
      <c r="E106" s="91"/>
      <c r="F106" s="125">
        <f t="shared" si="11"/>
        <v>0</v>
      </c>
      <c r="G106" s="128">
        <f t="shared" si="15"/>
        <v>0</v>
      </c>
      <c r="H106" s="129">
        <f t="shared" si="16"/>
        <v>0</v>
      </c>
      <c r="I106" s="91"/>
      <c r="J106" s="91"/>
      <c r="K106" s="91"/>
      <c r="L106" s="91"/>
      <c r="M106" s="91"/>
      <c r="N106" s="91"/>
      <c r="O106" s="91"/>
      <c r="P106" s="91"/>
      <c r="Q106" s="91"/>
      <c r="R106" s="13">
        <f t="shared" si="14"/>
        <v>0</v>
      </c>
      <c r="S106" s="7">
        <f t="shared" si="10"/>
        <v>0</v>
      </c>
    </row>
    <row r="107" spans="1:19" ht="15">
      <c r="A107" s="4" t="s">
        <v>141</v>
      </c>
      <c r="B107" s="109">
        <v>1000</v>
      </c>
      <c r="C107" s="63">
        <v>550</v>
      </c>
      <c r="D107" s="109">
        <v>1000</v>
      </c>
      <c r="E107" s="109">
        <v>700</v>
      </c>
      <c r="F107" s="144">
        <f t="shared" si="11"/>
        <v>-300</v>
      </c>
      <c r="G107" s="128">
        <f t="shared" si="15"/>
        <v>56.98</v>
      </c>
      <c r="H107" s="129">
        <f t="shared" si="16"/>
        <v>84.84</v>
      </c>
      <c r="I107" s="91"/>
      <c r="J107" s="130"/>
      <c r="K107" s="130"/>
      <c r="L107" s="130"/>
      <c r="M107" s="130"/>
      <c r="N107" s="130"/>
      <c r="O107" s="130"/>
      <c r="P107" s="130"/>
      <c r="Q107" s="68">
        <v>794</v>
      </c>
      <c r="R107" s="13">
        <f t="shared" si="14"/>
        <v>935.8199999999999</v>
      </c>
      <c r="S107" s="7">
        <f t="shared" si="10"/>
        <v>235.81999999999994</v>
      </c>
    </row>
    <row r="108" spans="1:19" ht="15">
      <c r="A108" s="4" t="s">
        <v>140</v>
      </c>
      <c r="B108" s="109">
        <v>1000</v>
      </c>
      <c r="C108" s="68">
        <v>252.45</v>
      </c>
      <c r="D108" s="109">
        <v>1000</v>
      </c>
      <c r="E108" s="109">
        <v>700</v>
      </c>
      <c r="F108" s="144">
        <f t="shared" si="11"/>
        <v>-300</v>
      </c>
      <c r="G108" s="128">
        <f t="shared" si="15"/>
        <v>56.98</v>
      </c>
      <c r="H108" s="129">
        <f t="shared" si="16"/>
        <v>84.84</v>
      </c>
      <c r="I108" s="91"/>
      <c r="J108" s="130"/>
      <c r="K108" s="130"/>
      <c r="L108" s="109"/>
      <c r="M108" s="109"/>
      <c r="N108" s="109"/>
      <c r="O108" s="109"/>
      <c r="P108" s="68"/>
      <c r="Q108" s="68">
        <v>794</v>
      </c>
      <c r="R108" s="13">
        <f t="shared" si="14"/>
        <v>935.8199999999999</v>
      </c>
      <c r="S108" s="7">
        <f t="shared" si="10"/>
        <v>235.81999999999994</v>
      </c>
    </row>
    <row r="109" spans="1:19" ht="15">
      <c r="A109" s="46" t="s">
        <v>47</v>
      </c>
      <c r="B109" s="91"/>
      <c r="C109" s="90"/>
      <c r="D109" s="91"/>
      <c r="E109" s="91"/>
      <c r="F109" s="125">
        <f t="shared" si="11"/>
        <v>0</v>
      </c>
      <c r="G109" s="128">
        <f t="shared" si="15"/>
        <v>0</v>
      </c>
      <c r="H109" s="129">
        <f t="shared" si="16"/>
        <v>0</v>
      </c>
      <c r="I109" s="91"/>
      <c r="J109" s="91"/>
      <c r="K109" s="91"/>
      <c r="L109" s="91"/>
      <c r="M109" s="91"/>
      <c r="N109" s="91"/>
      <c r="O109" s="91"/>
      <c r="P109" s="91"/>
      <c r="Q109" s="91"/>
      <c r="R109" s="13">
        <f t="shared" si="14"/>
        <v>0</v>
      </c>
      <c r="S109" s="7">
        <f t="shared" si="10"/>
        <v>0</v>
      </c>
    </row>
    <row r="110" spans="1:19" ht="15">
      <c r="A110" s="4" t="s">
        <v>48</v>
      </c>
      <c r="B110" s="109">
        <v>9000</v>
      </c>
      <c r="C110" s="64">
        <v>9846.78</v>
      </c>
      <c r="D110" s="109">
        <v>9000</v>
      </c>
      <c r="E110" s="109">
        <v>9000</v>
      </c>
      <c r="F110" s="144">
        <f t="shared" si="11"/>
        <v>0</v>
      </c>
      <c r="G110" s="128">
        <f t="shared" si="15"/>
        <v>732.6</v>
      </c>
      <c r="H110" s="129">
        <f t="shared" si="16"/>
        <v>1090.8</v>
      </c>
      <c r="I110" s="91"/>
      <c r="J110" s="109"/>
      <c r="K110" s="130"/>
      <c r="L110" s="109"/>
      <c r="M110" s="109"/>
      <c r="N110" s="109"/>
      <c r="O110" s="109"/>
      <c r="P110" s="109"/>
      <c r="Q110" s="68">
        <v>7144</v>
      </c>
      <c r="R110" s="13">
        <f t="shared" si="14"/>
        <v>8967.4</v>
      </c>
      <c r="S110" s="7">
        <f t="shared" si="10"/>
        <v>-32.600000000000364</v>
      </c>
    </row>
    <row r="111" spans="1:19" ht="15">
      <c r="A111" s="4" t="s">
        <v>49</v>
      </c>
      <c r="B111" s="109">
        <v>8000</v>
      </c>
      <c r="C111" s="64">
        <v>10816.32</v>
      </c>
      <c r="D111" s="109">
        <v>8000</v>
      </c>
      <c r="E111" s="109">
        <v>8000</v>
      </c>
      <c r="F111" s="144">
        <f t="shared" si="11"/>
        <v>0</v>
      </c>
      <c r="G111" s="128">
        <f t="shared" si="15"/>
        <v>651.2</v>
      </c>
      <c r="H111" s="129">
        <f t="shared" si="16"/>
        <v>969.6</v>
      </c>
      <c r="I111" s="91"/>
      <c r="J111" s="109"/>
      <c r="K111" s="130"/>
      <c r="L111" s="109"/>
      <c r="M111" s="109"/>
      <c r="N111" s="109"/>
      <c r="O111" s="109"/>
      <c r="P111" s="130"/>
      <c r="Q111" s="68">
        <v>6350</v>
      </c>
      <c r="R111" s="13">
        <f t="shared" si="14"/>
        <v>7970.8</v>
      </c>
      <c r="S111" s="7">
        <f t="shared" si="10"/>
        <v>-29.199999999999818</v>
      </c>
    </row>
    <row r="112" spans="1:19" ht="15">
      <c r="A112" s="4" t="s">
        <v>50</v>
      </c>
      <c r="B112" s="109">
        <v>4000</v>
      </c>
      <c r="C112" s="64">
        <v>1732.2</v>
      </c>
      <c r="D112" s="109">
        <v>4000</v>
      </c>
      <c r="E112" s="109">
        <v>4000</v>
      </c>
      <c r="F112" s="144">
        <f t="shared" si="11"/>
        <v>0</v>
      </c>
      <c r="G112" s="128">
        <f t="shared" si="15"/>
        <v>325.6</v>
      </c>
      <c r="H112" s="129">
        <f t="shared" si="16"/>
        <v>484.8</v>
      </c>
      <c r="I112" s="91"/>
      <c r="J112" s="109"/>
      <c r="K112" s="68"/>
      <c r="L112" s="109"/>
      <c r="M112" s="109"/>
      <c r="N112" s="109"/>
      <c r="O112" s="109"/>
      <c r="P112" s="109"/>
      <c r="Q112" s="68">
        <v>3175</v>
      </c>
      <c r="R112" s="13">
        <f t="shared" si="14"/>
        <v>3985.4</v>
      </c>
      <c r="S112" s="7">
        <f t="shared" si="10"/>
        <v>-14.599999999999909</v>
      </c>
    </row>
    <row r="113" spans="1:19" ht="15">
      <c r="A113" s="4" t="s">
        <v>51</v>
      </c>
      <c r="B113" s="109">
        <v>2500</v>
      </c>
      <c r="C113" s="64">
        <v>1030.25</v>
      </c>
      <c r="D113" s="109">
        <v>2200</v>
      </c>
      <c r="E113" s="109">
        <v>2200</v>
      </c>
      <c r="F113" s="144">
        <f t="shared" si="11"/>
        <v>-300</v>
      </c>
      <c r="G113" s="128">
        <f t="shared" si="15"/>
        <v>179.08</v>
      </c>
      <c r="H113" s="129">
        <f t="shared" si="16"/>
        <v>266.64</v>
      </c>
      <c r="I113" s="91"/>
      <c r="J113" s="130"/>
      <c r="K113" s="130"/>
      <c r="L113" s="109"/>
      <c r="M113" s="109"/>
      <c r="N113" s="109"/>
      <c r="O113" s="109"/>
      <c r="P113" s="130"/>
      <c r="Q113" s="68">
        <v>1985</v>
      </c>
      <c r="R113" s="13">
        <f t="shared" si="14"/>
        <v>2430.7200000000003</v>
      </c>
      <c r="S113" s="7">
        <f t="shared" si="10"/>
        <v>230.72000000000025</v>
      </c>
    </row>
    <row r="114" spans="1:19" ht="15">
      <c r="A114" s="4" t="s">
        <v>184</v>
      </c>
      <c r="B114" s="109">
        <v>5700</v>
      </c>
      <c r="C114" s="64">
        <v>2330.33</v>
      </c>
      <c r="D114" s="109">
        <v>5000</v>
      </c>
      <c r="E114" s="109">
        <v>3800</v>
      </c>
      <c r="F114" s="144">
        <f t="shared" si="11"/>
        <v>-1900</v>
      </c>
      <c r="G114" s="128">
        <f t="shared" si="15"/>
        <v>309.32</v>
      </c>
      <c r="H114" s="129">
        <f t="shared" si="16"/>
        <v>460.56</v>
      </c>
      <c r="I114" s="91"/>
      <c r="J114" s="68"/>
      <c r="K114" s="130"/>
      <c r="L114" s="109"/>
      <c r="M114" s="109"/>
      <c r="N114" s="109"/>
      <c r="O114" s="109"/>
      <c r="P114" s="130"/>
      <c r="Q114" s="68">
        <v>4525</v>
      </c>
      <c r="R114" s="13">
        <f t="shared" si="14"/>
        <v>5294.88</v>
      </c>
      <c r="S114" s="7">
        <f t="shared" si="10"/>
        <v>1494.88</v>
      </c>
    </row>
    <row r="115" spans="1:19" ht="15">
      <c r="A115" s="4" t="s">
        <v>52</v>
      </c>
      <c r="B115" s="109">
        <v>3000</v>
      </c>
      <c r="C115" s="64">
        <v>1504.35</v>
      </c>
      <c r="D115" s="109">
        <v>3000</v>
      </c>
      <c r="E115" s="109">
        <v>3000</v>
      </c>
      <c r="F115" s="144">
        <f t="shared" si="11"/>
        <v>0</v>
      </c>
      <c r="G115" s="128">
        <f t="shared" si="15"/>
        <v>244.2</v>
      </c>
      <c r="H115" s="129">
        <f t="shared" si="16"/>
        <v>363.6</v>
      </c>
      <c r="I115" s="91"/>
      <c r="J115" s="130"/>
      <c r="K115" s="130"/>
      <c r="L115" s="130"/>
      <c r="M115" s="130"/>
      <c r="N115" s="130"/>
      <c r="O115" s="130"/>
      <c r="P115" s="130"/>
      <c r="Q115" s="68">
        <v>2381</v>
      </c>
      <c r="R115" s="13">
        <f t="shared" si="14"/>
        <v>2988.8</v>
      </c>
      <c r="S115" s="7">
        <f t="shared" si="10"/>
        <v>-11.199999999999818</v>
      </c>
    </row>
    <row r="116" spans="1:19" ht="15">
      <c r="A116" s="4" t="s">
        <v>53</v>
      </c>
      <c r="B116" s="109">
        <v>55000</v>
      </c>
      <c r="C116" s="64">
        <v>24322.48</v>
      </c>
      <c r="D116" s="109">
        <v>48600</v>
      </c>
      <c r="E116" s="109">
        <v>42700</v>
      </c>
      <c r="F116" s="144">
        <f t="shared" si="11"/>
        <v>-12300</v>
      </c>
      <c r="G116" s="128">
        <f t="shared" si="15"/>
        <v>3475.78</v>
      </c>
      <c r="H116" s="129">
        <f t="shared" si="16"/>
        <v>5175.24</v>
      </c>
      <c r="I116" s="91"/>
      <c r="J116" s="109"/>
      <c r="K116" s="130"/>
      <c r="L116" s="109"/>
      <c r="M116" s="109"/>
      <c r="N116" s="109"/>
      <c r="O116" s="109"/>
      <c r="P116" s="130"/>
      <c r="Q116" s="68">
        <v>43659</v>
      </c>
      <c r="R116" s="13">
        <f t="shared" si="14"/>
        <v>52310.020000000004</v>
      </c>
      <c r="S116" s="7">
        <f t="shared" si="10"/>
        <v>9610.020000000004</v>
      </c>
    </row>
    <row r="117" spans="1:19" ht="15">
      <c r="A117" s="4" t="s">
        <v>54</v>
      </c>
      <c r="B117" s="109">
        <v>15000</v>
      </c>
      <c r="C117" s="68">
        <v>3900.45</v>
      </c>
      <c r="D117" s="109">
        <v>8000</v>
      </c>
      <c r="E117" s="109">
        <v>6900</v>
      </c>
      <c r="F117" s="144">
        <f t="shared" si="11"/>
        <v>-8100</v>
      </c>
      <c r="G117" s="128">
        <f t="shared" si="15"/>
        <v>561.66</v>
      </c>
      <c r="H117" s="129">
        <f t="shared" si="16"/>
        <v>836.28</v>
      </c>
      <c r="I117" s="91"/>
      <c r="J117" s="109"/>
      <c r="K117" s="130"/>
      <c r="L117" s="109"/>
      <c r="M117" s="109"/>
      <c r="N117" s="109"/>
      <c r="O117" s="109"/>
      <c r="P117" s="130"/>
      <c r="Q117" s="68">
        <v>11907</v>
      </c>
      <c r="R117" s="13">
        <f t="shared" si="14"/>
        <v>13304.94</v>
      </c>
      <c r="S117" s="7">
        <f t="shared" si="10"/>
        <v>6404.9400000000005</v>
      </c>
    </row>
    <row r="118" spans="1:19" ht="15">
      <c r="A118" s="4" t="s">
        <v>185</v>
      </c>
      <c r="B118" s="109">
        <v>2500</v>
      </c>
      <c r="C118" s="68">
        <v>960</v>
      </c>
      <c r="D118" s="109">
        <v>1920</v>
      </c>
      <c r="E118" s="109">
        <v>1740</v>
      </c>
      <c r="F118" s="144">
        <f t="shared" si="11"/>
        <v>-760</v>
      </c>
      <c r="G118" s="128">
        <f t="shared" si="15"/>
        <v>141.636</v>
      </c>
      <c r="H118" s="129">
        <f t="shared" si="16"/>
        <v>210.888</v>
      </c>
      <c r="I118" s="91"/>
      <c r="J118" s="109"/>
      <c r="K118" s="130"/>
      <c r="L118" s="109"/>
      <c r="M118" s="109"/>
      <c r="N118" s="109"/>
      <c r="O118" s="109"/>
      <c r="P118" s="130"/>
      <c r="Q118" s="68"/>
      <c r="R118" s="13"/>
      <c r="S118" s="7"/>
    </row>
    <row r="119" spans="1:19" ht="15">
      <c r="A119" s="46" t="s">
        <v>55</v>
      </c>
      <c r="B119" s="91"/>
      <c r="C119" s="90"/>
      <c r="D119" s="91"/>
      <c r="E119" s="91"/>
      <c r="F119" s="125"/>
      <c r="G119" s="128">
        <f t="shared" si="15"/>
        <v>0</v>
      </c>
      <c r="H119" s="129">
        <f t="shared" si="16"/>
        <v>0</v>
      </c>
      <c r="I119" s="91"/>
      <c r="J119" s="91"/>
      <c r="K119" s="91"/>
      <c r="L119" s="91"/>
      <c r="M119" s="91"/>
      <c r="N119" s="91"/>
      <c r="O119" s="91"/>
      <c r="P119" s="91"/>
      <c r="Q119" s="91"/>
      <c r="R119" s="13">
        <f t="shared" si="14"/>
        <v>0</v>
      </c>
      <c r="S119" s="7">
        <f t="shared" si="10"/>
        <v>0</v>
      </c>
    </row>
    <row r="120" spans="1:19" ht="15">
      <c r="A120" s="4" t="s">
        <v>142</v>
      </c>
      <c r="B120" s="109">
        <v>1000</v>
      </c>
      <c r="C120" s="63">
        <v>488.77</v>
      </c>
      <c r="D120" s="109">
        <v>1000</v>
      </c>
      <c r="E120" s="109">
        <v>1000</v>
      </c>
      <c r="F120" s="144">
        <f t="shared" si="11"/>
        <v>0</v>
      </c>
      <c r="G120" s="128">
        <f t="shared" si="15"/>
        <v>81.4</v>
      </c>
      <c r="H120" s="129">
        <f t="shared" si="16"/>
        <v>121.2</v>
      </c>
      <c r="I120" s="91"/>
      <c r="J120" s="130"/>
      <c r="K120" s="130"/>
      <c r="L120" s="130"/>
      <c r="M120" s="130"/>
      <c r="N120" s="130"/>
      <c r="O120" s="130"/>
      <c r="P120" s="130"/>
      <c r="Q120" s="68">
        <v>794</v>
      </c>
      <c r="R120" s="13">
        <f t="shared" si="14"/>
        <v>996.6</v>
      </c>
      <c r="S120" s="7">
        <f t="shared" si="10"/>
        <v>-3.3999999999999773</v>
      </c>
    </row>
    <row r="121" spans="1:19" ht="15">
      <c r="A121" s="4" t="s">
        <v>143</v>
      </c>
      <c r="B121" s="109">
        <v>1500</v>
      </c>
      <c r="C121" s="63">
        <v>904.85</v>
      </c>
      <c r="D121" s="109">
        <v>2000</v>
      </c>
      <c r="E121" s="109">
        <v>1500</v>
      </c>
      <c r="F121" s="144">
        <f t="shared" si="11"/>
        <v>0</v>
      </c>
      <c r="G121" s="128">
        <v>2000</v>
      </c>
      <c r="H121" s="129"/>
      <c r="I121" s="91"/>
      <c r="J121" s="130"/>
      <c r="K121" s="130"/>
      <c r="L121" s="130"/>
      <c r="M121" s="130"/>
      <c r="N121" s="130"/>
      <c r="O121" s="130"/>
      <c r="P121" s="130"/>
      <c r="Q121" s="68"/>
      <c r="R121" s="13">
        <f t="shared" si="14"/>
        <v>2000</v>
      </c>
      <c r="S121" s="7">
        <f t="shared" si="10"/>
        <v>500</v>
      </c>
    </row>
    <row r="122" spans="1:19" ht="15">
      <c r="A122" s="4" t="s">
        <v>144</v>
      </c>
      <c r="B122" s="109">
        <v>12480</v>
      </c>
      <c r="C122" s="64">
        <v>6052.5</v>
      </c>
      <c r="D122" s="109">
        <v>16800</v>
      </c>
      <c r="E122" s="109">
        <v>11200</v>
      </c>
      <c r="F122" s="144">
        <f t="shared" si="11"/>
        <v>-1280</v>
      </c>
      <c r="G122" s="128">
        <v>16800</v>
      </c>
      <c r="H122" s="129"/>
      <c r="I122" s="91"/>
      <c r="J122" s="130"/>
      <c r="K122" s="130"/>
      <c r="L122" s="130"/>
      <c r="M122" s="130"/>
      <c r="N122" s="130"/>
      <c r="O122" s="130"/>
      <c r="P122" s="130"/>
      <c r="Q122" s="68"/>
      <c r="R122" s="13">
        <f t="shared" si="14"/>
        <v>16800</v>
      </c>
      <c r="S122" s="7">
        <f t="shared" si="10"/>
        <v>5600</v>
      </c>
    </row>
    <row r="123" spans="1:19" ht="15">
      <c r="A123" s="4" t="s">
        <v>145</v>
      </c>
      <c r="B123" s="109">
        <v>3000</v>
      </c>
      <c r="C123" s="64">
        <v>1026.7</v>
      </c>
      <c r="D123" s="109">
        <v>0</v>
      </c>
      <c r="E123" s="109">
        <v>0</v>
      </c>
      <c r="F123" s="144">
        <f t="shared" si="11"/>
        <v>-3000</v>
      </c>
      <c r="G123" s="128">
        <f t="shared" si="15"/>
        <v>0</v>
      </c>
      <c r="H123" s="129">
        <f t="shared" si="16"/>
        <v>0</v>
      </c>
      <c r="I123" s="91"/>
      <c r="J123" s="68"/>
      <c r="K123" s="68"/>
      <c r="L123" s="130"/>
      <c r="M123" s="130"/>
      <c r="N123" s="68"/>
      <c r="O123" s="130"/>
      <c r="P123" s="130"/>
      <c r="Q123" s="68">
        <v>2381</v>
      </c>
      <c r="R123" s="13">
        <f t="shared" si="14"/>
        <v>2381</v>
      </c>
      <c r="S123" s="7">
        <f t="shared" si="10"/>
        <v>2381</v>
      </c>
    </row>
    <row r="124" spans="1:19" ht="15">
      <c r="A124" s="4" t="s">
        <v>175</v>
      </c>
      <c r="B124" s="109">
        <v>2120</v>
      </c>
      <c r="C124" s="63">
        <v>528.7</v>
      </c>
      <c r="D124" s="109">
        <v>4500</v>
      </c>
      <c r="E124" s="109">
        <v>4500</v>
      </c>
      <c r="F124" s="144">
        <f t="shared" si="11"/>
        <v>2380</v>
      </c>
      <c r="G124" s="128">
        <f t="shared" si="15"/>
        <v>366.3</v>
      </c>
      <c r="H124" s="129">
        <f t="shared" si="16"/>
        <v>545.4</v>
      </c>
      <c r="I124" s="91"/>
      <c r="J124" s="130"/>
      <c r="K124" s="130"/>
      <c r="L124" s="109"/>
      <c r="M124" s="109"/>
      <c r="N124" s="109"/>
      <c r="O124" s="130"/>
      <c r="P124" s="130"/>
      <c r="Q124" s="68">
        <v>1683</v>
      </c>
      <c r="R124" s="13">
        <f>SUM(G124:Q124)</f>
        <v>2594.7</v>
      </c>
      <c r="S124" s="7">
        <f>+R124-E124</f>
        <v>-1905.3000000000002</v>
      </c>
    </row>
    <row r="125" spans="1:19" ht="15">
      <c r="A125" s="4" t="s">
        <v>176</v>
      </c>
      <c r="B125" s="109">
        <v>4200</v>
      </c>
      <c r="C125" s="63">
        <v>649.94</v>
      </c>
      <c r="D125" s="109">
        <v>3800</v>
      </c>
      <c r="E125" s="109">
        <v>3800</v>
      </c>
      <c r="F125" s="144">
        <f t="shared" si="11"/>
        <v>-400</v>
      </c>
      <c r="G125" s="128">
        <f t="shared" si="15"/>
        <v>309.32</v>
      </c>
      <c r="H125" s="129">
        <f t="shared" si="16"/>
        <v>460.56</v>
      </c>
      <c r="I125" s="91"/>
      <c r="J125" s="130"/>
      <c r="K125" s="130"/>
      <c r="L125" s="109"/>
      <c r="M125" s="109"/>
      <c r="N125" s="109"/>
      <c r="O125" s="130"/>
      <c r="P125" s="130"/>
      <c r="Q125" s="68">
        <v>3334</v>
      </c>
      <c r="R125" s="13">
        <f>SUM(G125:Q125)</f>
        <v>4103.88</v>
      </c>
      <c r="S125" s="7">
        <f>+R125-E125</f>
        <v>303.8800000000001</v>
      </c>
    </row>
    <row r="126" spans="1:19" ht="15">
      <c r="A126" s="4" t="s">
        <v>146</v>
      </c>
      <c r="B126" s="109">
        <v>3000</v>
      </c>
      <c r="C126" s="63">
        <v>0</v>
      </c>
      <c r="D126" s="109">
        <v>0</v>
      </c>
      <c r="E126" s="109">
        <v>0</v>
      </c>
      <c r="F126" s="144">
        <f t="shared" si="11"/>
        <v>-3000</v>
      </c>
      <c r="G126" s="128">
        <f t="shared" si="15"/>
        <v>0</v>
      </c>
      <c r="H126" s="129">
        <f t="shared" si="16"/>
        <v>0</v>
      </c>
      <c r="I126" s="91"/>
      <c r="J126" s="130"/>
      <c r="K126" s="130"/>
      <c r="L126" s="109"/>
      <c r="M126" s="109"/>
      <c r="N126" s="109"/>
      <c r="O126" s="130"/>
      <c r="P126" s="130"/>
      <c r="Q126" s="68">
        <v>2381</v>
      </c>
      <c r="R126" s="13">
        <f t="shared" si="14"/>
        <v>2381</v>
      </c>
      <c r="S126" s="7">
        <f t="shared" si="10"/>
        <v>2381</v>
      </c>
    </row>
    <row r="127" spans="1:19" ht="15">
      <c r="A127" s="4" t="s">
        <v>147</v>
      </c>
      <c r="B127" s="109">
        <v>11330</v>
      </c>
      <c r="C127" s="68">
        <v>5311.66</v>
      </c>
      <c r="D127" s="109">
        <v>11250</v>
      </c>
      <c r="E127" s="109">
        <v>7522</v>
      </c>
      <c r="F127" s="144">
        <f t="shared" si="11"/>
        <v>-3808</v>
      </c>
      <c r="G127" s="128">
        <f t="shared" si="15"/>
        <v>612.2908</v>
      </c>
      <c r="H127" s="129">
        <f t="shared" si="16"/>
        <v>911.6664000000001</v>
      </c>
      <c r="I127" s="91"/>
      <c r="J127" s="130"/>
      <c r="K127" s="130"/>
      <c r="L127" s="109"/>
      <c r="M127" s="109"/>
      <c r="N127" s="109"/>
      <c r="O127" s="130"/>
      <c r="P127" s="130"/>
      <c r="Q127" s="68">
        <v>8994</v>
      </c>
      <c r="R127" s="13">
        <f t="shared" si="14"/>
        <v>10517.9572</v>
      </c>
      <c r="S127" s="7">
        <f t="shared" si="10"/>
        <v>2995.9572000000007</v>
      </c>
    </row>
    <row r="128" spans="1:19" ht="15">
      <c r="A128" s="4" t="s">
        <v>148</v>
      </c>
      <c r="B128" s="109">
        <v>0</v>
      </c>
      <c r="C128" s="63">
        <v>-306.5</v>
      </c>
      <c r="D128" s="109"/>
      <c r="E128" s="109"/>
      <c r="F128" s="144">
        <f t="shared" si="11"/>
        <v>0</v>
      </c>
      <c r="G128" s="128">
        <f t="shared" si="15"/>
        <v>0</v>
      </c>
      <c r="H128" s="129">
        <f t="shared" si="16"/>
        <v>0</v>
      </c>
      <c r="I128" s="91"/>
      <c r="J128" s="130"/>
      <c r="K128" s="130"/>
      <c r="L128" s="130"/>
      <c r="M128" s="130"/>
      <c r="N128" s="130"/>
      <c r="O128" s="130"/>
      <c r="P128" s="130"/>
      <c r="Q128" s="68"/>
      <c r="R128" s="13">
        <f t="shared" si="14"/>
        <v>0</v>
      </c>
      <c r="S128" s="7">
        <f t="shared" si="10"/>
        <v>0</v>
      </c>
    </row>
    <row r="129" spans="1:19" ht="15">
      <c r="A129" s="46" t="s">
        <v>56</v>
      </c>
      <c r="B129" s="91"/>
      <c r="C129" s="90"/>
      <c r="D129" s="91"/>
      <c r="E129" s="91"/>
      <c r="F129" s="125">
        <f t="shared" si="11"/>
        <v>0</v>
      </c>
      <c r="G129" s="128">
        <f t="shared" si="15"/>
        <v>0</v>
      </c>
      <c r="H129" s="129">
        <f t="shared" si="16"/>
        <v>0</v>
      </c>
      <c r="I129" s="91"/>
      <c r="J129" s="91"/>
      <c r="K129" s="91"/>
      <c r="L129" s="91"/>
      <c r="M129" s="91"/>
      <c r="N129" s="91"/>
      <c r="O129" s="91"/>
      <c r="P129" s="91"/>
      <c r="Q129" s="91"/>
      <c r="R129" s="13">
        <f t="shared" si="14"/>
        <v>0</v>
      </c>
      <c r="S129" s="7">
        <f t="shared" si="10"/>
        <v>0</v>
      </c>
    </row>
    <row r="130" spans="1:19" ht="15">
      <c r="A130" s="4" t="s">
        <v>149</v>
      </c>
      <c r="B130" s="109">
        <v>3000</v>
      </c>
      <c r="C130" s="63">
        <v>280</v>
      </c>
      <c r="D130" s="109">
        <v>500</v>
      </c>
      <c r="E130" s="109">
        <v>500</v>
      </c>
      <c r="F130" s="144">
        <f>+E130-B130</f>
        <v>-2500</v>
      </c>
      <c r="G130" s="128">
        <f t="shared" si="15"/>
        <v>40.7</v>
      </c>
      <c r="H130" s="129">
        <f t="shared" si="16"/>
        <v>60.6</v>
      </c>
      <c r="I130" s="91"/>
      <c r="J130" s="130"/>
      <c r="K130" s="130"/>
      <c r="L130" s="109"/>
      <c r="M130" s="109"/>
      <c r="N130" s="109"/>
      <c r="O130" s="109"/>
      <c r="P130" s="130"/>
      <c r="Q130" s="68">
        <v>2381</v>
      </c>
      <c r="R130" s="13">
        <f t="shared" si="14"/>
        <v>2482.3</v>
      </c>
      <c r="S130" s="7">
        <f t="shared" si="10"/>
        <v>1982.3000000000002</v>
      </c>
    </row>
    <row r="131" spans="1:19" ht="15.75" thickBot="1">
      <c r="A131" s="52" t="s">
        <v>57</v>
      </c>
      <c r="B131" s="112"/>
      <c r="C131" s="65">
        <v>441.6</v>
      </c>
      <c r="D131" s="112"/>
      <c r="E131" s="112"/>
      <c r="F131" s="162">
        <f>+E131-B131</f>
        <v>0</v>
      </c>
      <c r="G131" s="141">
        <f>+E131*0.0861</f>
        <v>0</v>
      </c>
      <c r="H131" s="186">
        <f>+E131*0.1201</f>
        <v>0</v>
      </c>
      <c r="I131" s="111"/>
      <c r="J131" s="148"/>
      <c r="K131" s="148"/>
      <c r="L131" s="148"/>
      <c r="M131" s="148"/>
      <c r="N131" s="148"/>
      <c r="O131" s="148"/>
      <c r="P131" s="148"/>
      <c r="Q131" s="163"/>
      <c r="R131" s="13">
        <f t="shared" si="14"/>
        <v>0</v>
      </c>
      <c r="S131" s="7"/>
    </row>
    <row r="132" spans="1:19" ht="15.75" thickBot="1">
      <c r="A132" s="48" t="s">
        <v>6</v>
      </c>
      <c r="B132" s="57">
        <f>SUM(B66:B131)</f>
        <v>749365</v>
      </c>
      <c r="C132" s="164">
        <f aca="true" t="shared" si="17" ref="C132:Q132">SUM(C66:C131)</f>
        <v>333167.85599999997</v>
      </c>
      <c r="D132" s="57">
        <f t="shared" si="17"/>
        <v>823523.4481068001</v>
      </c>
      <c r="E132" s="57">
        <f t="shared" si="17"/>
        <v>712500.32</v>
      </c>
      <c r="F132" s="166">
        <f t="shared" si="17"/>
        <v>-36864.68</v>
      </c>
      <c r="G132" s="86">
        <f t="shared" si="17"/>
        <v>190836.64710000006</v>
      </c>
      <c r="H132" s="79">
        <f t="shared" si="17"/>
        <v>179809.73412</v>
      </c>
      <c r="I132" s="40">
        <f t="shared" si="17"/>
        <v>0</v>
      </c>
      <c r="J132" s="57">
        <f t="shared" si="17"/>
        <v>0</v>
      </c>
      <c r="K132" s="57">
        <f t="shared" si="17"/>
        <v>0</v>
      </c>
      <c r="L132" s="57">
        <f t="shared" si="17"/>
        <v>0</v>
      </c>
      <c r="M132" s="57">
        <f t="shared" si="17"/>
        <v>0</v>
      </c>
      <c r="N132" s="57">
        <f t="shared" si="17"/>
        <v>0</v>
      </c>
      <c r="O132" s="57">
        <f t="shared" si="17"/>
        <v>0</v>
      </c>
      <c r="P132" s="57">
        <f t="shared" si="17"/>
        <v>0</v>
      </c>
      <c r="Q132" s="57">
        <f t="shared" si="17"/>
        <v>412430</v>
      </c>
      <c r="R132" s="15">
        <f>SUM(G132:Q132)-1</f>
        <v>783075.3812200001</v>
      </c>
      <c r="S132" s="7">
        <f>+R132-E132</f>
        <v>70575.06122000015</v>
      </c>
    </row>
    <row r="133" spans="1:18" ht="18">
      <c r="A133" s="69"/>
      <c r="B133" s="104" t="s">
        <v>61</v>
      </c>
      <c r="C133" s="104" t="s">
        <v>105</v>
      </c>
      <c r="D133" s="104" t="s">
        <v>61</v>
      </c>
      <c r="E133" s="104" t="s">
        <v>61</v>
      </c>
      <c r="F133" s="118" t="s">
        <v>113</v>
      </c>
      <c r="G133" s="87" t="s">
        <v>63</v>
      </c>
      <c r="H133" s="80" t="s">
        <v>64</v>
      </c>
      <c r="I133" s="58" t="s">
        <v>66</v>
      </c>
      <c r="J133" s="59" t="s">
        <v>65</v>
      </c>
      <c r="K133" s="59" t="s">
        <v>67</v>
      </c>
      <c r="L133" s="59" t="s">
        <v>68</v>
      </c>
      <c r="M133" s="59" t="s">
        <v>69</v>
      </c>
      <c r="N133" s="59" t="s">
        <v>70</v>
      </c>
      <c r="O133" s="59" t="s">
        <v>71</v>
      </c>
      <c r="P133" s="59" t="s">
        <v>72</v>
      </c>
      <c r="Q133" s="59" t="s">
        <v>114</v>
      </c>
      <c r="R133" s="7"/>
    </row>
    <row r="134" spans="1:18" ht="18.75" thickBot="1">
      <c r="A134" s="72"/>
      <c r="B134" s="106" t="str">
        <f>+B4</f>
        <v>2019-2020</v>
      </c>
      <c r="C134" s="105" t="str">
        <f>+C4</f>
        <v>Jul-Dec</v>
      </c>
      <c r="D134" s="106" t="str">
        <f>+D4</f>
        <v>2020-2021</v>
      </c>
      <c r="E134" s="106" t="str">
        <f>+E4</f>
        <v>2020-2021</v>
      </c>
      <c r="F134" s="119" t="s">
        <v>112</v>
      </c>
      <c r="G134" s="84" t="s">
        <v>73</v>
      </c>
      <c r="H134" s="77" t="s">
        <v>74</v>
      </c>
      <c r="I134" s="39" t="s">
        <v>74</v>
      </c>
      <c r="J134" s="8" t="s">
        <v>74</v>
      </c>
      <c r="K134" s="8" t="s">
        <v>74</v>
      </c>
      <c r="L134" s="8" t="s">
        <v>75</v>
      </c>
      <c r="M134" s="8" t="s">
        <v>75</v>
      </c>
      <c r="N134" s="8" t="s">
        <v>75</v>
      </c>
      <c r="O134" s="8" t="s">
        <v>76</v>
      </c>
      <c r="P134" s="8" t="s">
        <v>74</v>
      </c>
      <c r="Q134" s="8" t="s">
        <v>75</v>
      </c>
      <c r="R134" s="9" t="s">
        <v>116</v>
      </c>
    </row>
    <row r="135" spans="1:19" ht="15">
      <c r="A135" s="73" t="s">
        <v>58</v>
      </c>
      <c r="B135" s="18">
        <f>B60</f>
        <v>749365</v>
      </c>
      <c r="C135" s="18">
        <f>C60</f>
        <v>385784.11000000004</v>
      </c>
      <c r="D135" s="18">
        <f>D60</f>
        <v>823523</v>
      </c>
      <c r="E135" s="18">
        <f>E60</f>
        <v>712500</v>
      </c>
      <c r="F135" s="157">
        <f>+E135-B135</f>
        <v>-36865</v>
      </c>
      <c r="G135" s="86">
        <f aca="true" t="shared" si="18" ref="G135:R135">G60</f>
        <v>190480</v>
      </c>
      <c r="H135" s="79">
        <f t="shared" si="18"/>
        <v>180081</v>
      </c>
      <c r="I135" s="40">
        <f t="shared" si="18"/>
        <v>0</v>
      </c>
      <c r="J135" s="18">
        <f t="shared" si="18"/>
        <v>0</v>
      </c>
      <c r="K135" s="18">
        <f t="shared" si="18"/>
        <v>0</v>
      </c>
      <c r="L135" s="18">
        <f t="shared" si="18"/>
        <v>0</v>
      </c>
      <c r="M135" s="18">
        <f t="shared" si="18"/>
        <v>0</v>
      </c>
      <c r="N135" s="18">
        <f t="shared" si="18"/>
        <v>0</v>
      </c>
      <c r="O135" s="18">
        <f t="shared" si="18"/>
        <v>0</v>
      </c>
      <c r="P135" s="18">
        <f t="shared" si="18"/>
        <v>0</v>
      </c>
      <c r="Q135" s="18">
        <f t="shared" si="18"/>
        <v>412352</v>
      </c>
      <c r="R135" s="18">
        <f t="shared" si="18"/>
        <v>782913</v>
      </c>
      <c r="S135" s="7">
        <f>+R135-E135</f>
        <v>70413</v>
      </c>
    </row>
    <row r="136" spans="1:19" ht="15.75" thickBot="1">
      <c r="A136" s="73" t="s">
        <v>59</v>
      </c>
      <c r="B136" s="19">
        <f>B132</f>
        <v>749365</v>
      </c>
      <c r="C136" s="19">
        <f>C132</f>
        <v>333167.85599999997</v>
      </c>
      <c r="D136" s="19">
        <f>D132</f>
        <v>823523.4481068001</v>
      </c>
      <c r="E136" s="19">
        <f>E132</f>
        <v>712500.32</v>
      </c>
      <c r="F136" s="170">
        <f>+E136-B136</f>
        <v>-36864.68000000005</v>
      </c>
      <c r="G136" s="88">
        <f aca="true" t="shared" si="19" ref="G136:R136">G132</f>
        <v>190836.64710000006</v>
      </c>
      <c r="H136" s="81">
        <f t="shared" si="19"/>
        <v>179809.73412</v>
      </c>
      <c r="I136" s="41">
        <f t="shared" si="19"/>
        <v>0</v>
      </c>
      <c r="J136" s="19">
        <f>J132</f>
        <v>0</v>
      </c>
      <c r="K136" s="19">
        <f t="shared" si="19"/>
        <v>0</v>
      </c>
      <c r="L136" s="19">
        <f t="shared" si="19"/>
        <v>0</v>
      </c>
      <c r="M136" s="19">
        <f t="shared" si="19"/>
        <v>0</v>
      </c>
      <c r="N136" s="19">
        <f t="shared" si="19"/>
        <v>0</v>
      </c>
      <c r="O136" s="19">
        <f t="shared" si="19"/>
        <v>0</v>
      </c>
      <c r="P136" s="19">
        <f t="shared" si="19"/>
        <v>0</v>
      </c>
      <c r="Q136" s="19">
        <f>Q132</f>
        <v>412430</v>
      </c>
      <c r="R136" s="19">
        <f t="shared" si="19"/>
        <v>783075.3812200001</v>
      </c>
      <c r="S136" s="7">
        <f>+R136-E136</f>
        <v>70575.06122000015</v>
      </c>
    </row>
    <row r="137" spans="1:19" ht="15.75" thickBot="1">
      <c r="A137" s="74" t="s">
        <v>60</v>
      </c>
      <c r="B137" s="114">
        <f aca="true" t="shared" si="20" ref="B137:P137">+B135-B136</f>
        <v>0</v>
      </c>
      <c r="C137" s="114">
        <f t="shared" si="20"/>
        <v>52616.25400000007</v>
      </c>
      <c r="D137" s="114">
        <f t="shared" si="20"/>
        <v>-0.44810680008959025</v>
      </c>
      <c r="E137" s="114">
        <f t="shared" si="20"/>
        <v>-0.31999999994877726</v>
      </c>
      <c r="F137" s="172">
        <f t="shared" si="20"/>
        <v>-0.31999999994877726</v>
      </c>
      <c r="G137" s="89">
        <f t="shared" si="20"/>
        <v>-356.64710000006016</v>
      </c>
      <c r="H137" s="82">
        <f t="shared" si="20"/>
        <v>271.26587999999174</v>
      </c>
      <c r="I137" s="42">
        <f t="shared" si="20"/>
        <v>0</v>
      </c>
      <c r="J137" s="20">
        <f t="shared" si="20"/>
        <v>0</v>
      </c>
      <c r="K137" s="20">
        <f t="shared" si="20"/>
        <v>0</v>
      </c>
      <c r="L137" s="20">
        <f t="shared" si="20"/>
        <v>0</v>
      </c>
      <c r="M137" s="20">
        <f t="shared" si="20"/>
        <v>0</v>
      </c>
      <c r="N137" s="20">
        <f t="shared" si="20"/>
        <v>0</v>
      </c>
      <c r="O137" s="20">
        <f t="shared" si="20"/>
        <v>0</v>
      </c>
      <c r="P137" s="20">
        <f t="shared" si="20"/>
        <v>0</v>
      </c>
      <c r="Q137" s="20">
        <f>+Q135-Q136</f>
        <v>-78</v>
      </c>
      <c r="R137" s="20">
        <f>+R135-R136</f>
        <v>-162.38122000009753</v>
      </c>
      <c r="S137" s="7">
        <f>+R137-E137</f>
        <v>-162.06122000014875</v>
      </c>
    </row>
    <row r="138" ht="14.25">
      <c r="B138" s="173"/>
    </row>
    <row r="139" spans="7:8" ht="14.25">
      <c r="G139">
        <v>90332</v>
      </c>
      <c r="H139">
        <v>73022</v>
      </c>
    </row>
    <row r="141" spans="7:8" ht="14.25">
      <c r="G141">
        <v>160398</v>
      </c>
      <c r="H141">
        <v>165943</v>
      </c>
    </row>
    <row r="142" ht="14.25">
      <c r="B142" s="174"/>
    </row>
    <row r="143" ht="14.25">
      <c r="B143" s="174"/>
    </row>
    <row r="144" ht="14.25">
      <c r="B144" s="174"/>
    </row>
    <row r="145" ht="14.25">
      <c r="B145" s="174"/>
    </row>
    <row r="171" spans="1:19" s="7" customFormat="1" ht="14.25">
      <c r="A171"/>
      <c r="B171" s="174"/>
      <c r="D171" s="103"/>
      <c r="E171" s="103"/>
      <c r="F171" s="103"/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1:19" s="7" customFormat="1" ht="14.25">
      <c r="A172"/>
      <c r="B172" s="174"/>
      <c r="D172" s="103"/>
      <c r="E172" s="103"/>
      <c r="F172" s="103"/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1:19" s="7" customFormat="1" ht="14.25">
      <c r="A173"/>
      <c r="B173" s="174"/>
      <c r="D173" s="103"/>
      <c r="E173" s="103"/>
      <c r="F173" s="103"/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1:19" s="7" customFormat="1" ht="14.25">
      <c r="A174"/>
      <c r="B174" s="174"/>
      <c r="D174" s="103"/>
      <c r="E174" s="103"/>
      <c r="F174" s="103"/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1:19" s="7" customFormat="1" ht="14.25">
      <c r="A175"/>
      <c r="B175" s="174"/>
      <c r="D175" s="103"/>
      <c r="E175" s="103"/>
      <c r="F175" s="103"/>
      <c r="G175"/>
      <c r="H175"/>
      <c r="I175"/>
      <c r="J175"/>
      <c r="K175"/>
      <c r="L175"/>
      <c r="M175"/>
      <c r="N175"/>
      <c r="O175"/>
      <c r="P175"/>
      <c r="Q175"/>
      <c r="R175"/>
      <c r="S175"/>
    </row>
    <row r="176" spans="1:19" s="7" customFormat="1" ht="14.25">
      <c r="A176"/>
      <c r="B176" s="174"/>
      <c r="D176" s="103"/>
      <c r="E176" s="103"/>
      <c r="F176" s="103"/>
      <c r="G176"/>
      <c r="H176"/>
      <c r="I176"/>
      <c r="J176"/>
      <c r="K176"/>
      <c r="L176"/>
      <c r="M176"/>
      <c r="N176"/>
      <c r="O176"/>
      <c r="P176"/>
      <c r="Q176"/>
      <c r="R176"/>
      <c r="S176"/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scale="70" r:id="rId1"/>
  <headerFooter alignWithMargins="0">
    <oddFooter>&amp;L&amp;Z&amp;F&amp;R&amp;"Arial,Bold"Page&amp;P</oddFooter>
  </headerFooter>
  <rowBreaks count="2" manualBreakCount="2">
    <brk id="61" max="7" man="1"/>
    <brk id="11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76"/>
  <sheetViews>
    <sheetView view="pageBreakPreview" zoomScaleSheetLayoutView="100" zoomScalePageLayoutView="0" workbookViewId="0" topLeftCell="A1">
      <pane xSplit="1" ySplit="4" topLeftCell="B101" activePane="bottomRight" state="frozen"/>
      <selection pane="topLeft" activeCell="K112" sqref="K112"/>
      <selection pane="topRight" activeCell="K112" sqref="K112"/>
      <selection pane="bottomLeft" activeCell="K112" sqref="K112"/>
      <selection pane="bottomRight" activeCell="F7" sqref="F7"/>
    </sheetView>
  </sheetViews>
  <sheetFormatPr defaultColWidth="9.140625" defaultRowHeight="12.75"/>
  <cols>
    <col min="1" max="1" width="34.421875" style="0" customWidth="1"/>
    <col min="2" max="2" width="13.140625" style="3" customWidth="1"/>
    <col min="3" max="3" width="13.7109375" style="7" hidden="1" customWidth="1"/>
    <col min="4" max="6" width="13.7109375" style="103" customWidth="1"/>
    <col min="7" max="7" width="14.7109375" style="0" hidden="1" customWidth="1"/>
    <col min="8" max="8" width="13.7109375" style="0" hidden="1" customWidth="1"/>
    <col min="9" max="10" width="11.00390625" style="0" hidden="1" customWidth="1"/>
    <col min="11" max="11" width="12.421875" style="0" hidden="1" customWidth="1"/>
    <col min="12" max="12" width="11.7109375" style="0" hidden="1" customWidth="1"/>
    <col min="13" max="13" width="16.28125" style="0" hidden="1" customWidth="1"/>
    <col min="14" max="14" width="14.00390625" style="0" hidden="1" customWidth="1"/>
    <col min="15" max="15" width="13.28125" style="0" hidden="1" customWidth="1"/>
    <col min="16" max="16" width="11.7109375" style="0" hidden="1" customWidth="1"/>
    <col min="17" max="17" width="13.8515625" style="0" hidden="1" customWidth="1"/>
    <col min="18" max="18" width="13.28125" style="0" hidden="1" customWidth="1"/>
    <col min="19" max="19" width="10.57421875" style="0" hidden="1" customWidth="1"/>
  </cols>
  <sheetData>
    <row r="1" spans="1:3" ht="18">
      <c r="A1" s="1" t="s">
        <v>77</v>
      </c>
      <c r="B1" s="115"/>
      <c r="C1" s="62"/>
    </row>
    <row r="2" spans="1:5" ht="18.75" thickBot="1">
      <c r="A2" s="189" t="s">
        <v>208</v>
      </c>
      <c r="B2" s="190"/>
      <c r="C2" s="190"/>
      <c r="D2" s="190"/>
      <c r="E2" s="190"/>
    </row>
    <row r="3" spans="1:18" ht="18">
      <c r="A3" s="69"/>
      <c r="B3" s="104" t="s">
        <v>123</v>
      </c>
      <c r="C3" s="104" t="s">
        <v>105</v>
      </c>
      <c r="D3" s="104" t="s">
        <v>201</v>
      </c>
      <c r="E3" s="104" t="s">
        <v>202</v>
      </c>
      <c r="F3" s="118" t="s">
        <v>113</v>
      </c>
      <c r="G3" s="83" t="s">
        <v>63</v>
      </c>
      <c r="H3" s="76" t="s">
        <v>64</v>
      </c>
      <c r="I3" s="38" t="s">
        <v>66</v>
      </c>
      <c r="J3" s="6" t="s">
        <v>65</v>
      </c>
      <c r="K3" s="6" t="s">
        <v>67</v>
      </c>
      <c r="L3" s="6" t="s">
        <v>68</v>
      </c>
      <c r="M3" s="6" t="s">
        <v>69</v>
      </c>
      <c r="N3" s="6" t="s">
        <v>70</v>
      </c>
      <c r="O3" s="6" t="s">
        <v>71</v>
      </c>
      <c r="P3" s="6" t="s">
        <v>72</v>
      </c>
      <c r="Q3" s="6" t="s">
        <v>114</v>
      </c>
      <c r="R3" s="7"/>
    </row>
    <row r="4" spans="1:18" ht="18.75" thickBot="1">
      <c r="A4" s="2"/>
      <c r="B4" s="106" t="s">
        <v>179</v>
      </c>
      <c r="C4" s="106" t="s">
        <v>111</v>
      </c>
      <c r="D4" s="106" t="s">
        <v>188</v>
      </c>
      <c r="E4" s="106" t="s">
        <v>188</v>
      </c>
      <c r="F4" s="119" t="s">
        <v>112</v>
      </c>
      <c r="G4" s="84" t="s">
        <v>73</v>
      </c>
      <c r="H4" s="77" t="s">
        <v>74</v>
      </c>
      <c r="I4" s="39" t="s">
        <v>74</v>
      </c>
      <c r="J4" s="8" t="s">
        <v>74</v>
      </c>
      <c r="K4" s="8" t="s">
        <v>74</v>
      </c>
      <c r="L4" s="8" t="s">
        <v>75</v>
      </c>
      <c r="M4" s="8" t="s">
        <v>75</v>
      </c>
      <c r="N4" s="8" t="s">
        <v>75</v>
      </c>
      <c r="O4" s="8" t="s">
        <v>76</v>
      </c>
      <c r="P4" s="8" t="s">
        <v>74</v>
      </c>
      <c r="Q4" s="8" t="s">
        <v>75</v>
      </c>
      <c r="R4" s="9" t="s">
        <v>116</v>
      </c>
    </row>
    <row r="5" spans="1:18" ht="18.75" thickBot="1">
      <c r="A5" s="56" t="s">
        <v>0</v>
      </c>
      <c r="B5" s="120"/>
      <c r="C5" s="121"/>
      <c r="D5" s="120"/>
      <c r="E5" s="120"/>
      <c r="F5" s="123"/>
      <c r="G5" s="85"/>
      <c r="H5" s="78"/>
      <c r="I5" s="53"/>
      <c r="J5" s="54"/>
      <c r="K5" s="54"/>
      <c r="L5" s="54"/>
      <c r="M5" s="54"/>
      <c r="N5" s="54"/>
      <c r="O5" s="54"/>
      <c r="P5" s="54"/>
      <c r="Q5" s="54"/>
      <c r="R5" s="55"/>
    </row>
    <row r="6" spans="1:18" ht="15">
      <c r="A6" s="46" t="s">
        <v>1</v>
      </c>
      <c r="B6" s="91"/>
      <c r="C6" s="91"/>
      <c r="D6" s="91"/>
      <c r="E6" s="91"/>
      <c r="F6" s="125"/>
      <c r="G6" s="86"/>
      <c r="H6" s="79"/>
      <c r="I6" s="40"/>
      <c r="J6" s="40"/>
      <c r="K6" s="40"/>
      <c r="L6" s="40"/>
      <c r="M6" s="40"/>
      <c r="N6" s="40"/>
      <c r="O6" s="40"/>
      <c r="P6" s="40"/>
      <c r="Q6" s="40"/>
      <c r="R6" s="10"/>
    </row>
    <row r="7" spans="1:19" ht="15">
      <c r="A7" s="47" t="s">
        <v>2</v>
      </c>
      <c r="B7" s="68">
        <v>459500</v>
      </c>
      <c r="C7" s="63">
        <v>229750</v>
      </c>
      <c r="D7" s="68">
        <v>492000</v>
      </c>
      <c r="E7" s="68">
        <v>397859</v>
      </c>
      <c r="F7" s="127">
        <f>+E7-B7</f>
        <v>-61641</v>
      </c>
      <c r="G7" s="128">
        <v>108880</v>
      </c>
      <c r="H7" s="129">
        <v>76481</v>
      </c>
      <c r="I7" s="91"/>
      <c r="J7" s="68"/>
      <c r="K7" s="130"/>
      <c r="L7" s="68"/>
      <c r="M7" s="68"/>
      <c r="N7" s="68"/>
      <c r="O7" s="68"/>
      <c r="P7" s="68"/>
      <c r="Q7" s="68">
        <v>286462</v>
      </c>
      <c r="R7" s="11">
        <f aca="true" t="shared" si="0" ref="R7:R77">SUM(G7:Q7)</f>
        <v>471823</v>
      </c>
      <c r="S7" s="7">
        <f aca="true" t="shared" si="1" ref="S7:S61">+R7-E7</f>
        <v>73964</v>
      </c>
    </row>
    <row r="8" spans="1:19" ht="15">
      <c r="A8" s="47" t="s">
        <v>3</v>
      </c>
      <c r="B8" s="68">
        <v>35000</v>
      </c>
      <c r="C8" s="63">
        <v>16500</v>
      </c>
      <c r="D8" s="68">
        <v>40000</v>
      </c>
      <c r="E8" s="68">
        <v>28249</v>
      </c>
      <c r="F8" s="127">
        <f>+E8-B8</f>
        <v>-6751</v>
      </c>
      <c r="G8" s="128">
        <v>15000</v>
      </c>
      <c r="H8" s="129">
        <v>25000</v>
      </c>
      <c r="I8" s="91"/>
      <c r="J8" s="130"/>
      <c r="K8" s="130"/>
      <c r="L8" s="130"/>
      <c r="M8" s="130"/>
      <c r="N8" s="130"/>
      <c r="O8" s="130"/>
      <c r="P8" s="130"/>
      <c r="Q8" s="68"/>
      <c r="R8" s="7">
        <f t="shared" si="0"/>
        <v>40000</v>
      </c>
      <c r="S8" s="7">
        <f t="shared" si="1"/>
        <v>11751</v>
      </c>
    </row>
    <row r="9" spans="1:19" ht="15">
      <c r="A9" s="47" t="s">
        <v>4</v>
      </c>
      <c r="B9" s="109">
        <v>20050</v>
      </c>
      <c r="C9" s="63">
        <v>10026</v>
      </c>
      <c r="D9" s="109">
        <v>20050</v>
      </c>
      <c r="E9" s="109">
        <v>20050</v>
      </c>
      <c r="F9" s="127">
        <f>+E9-B9</f>
        <v>0</v>
      </c>
      <c r="G9" s="128"/>
      <c r="H9" s="129"/>
      <c r="I9" s="91"/>
      <c r="J9" s="130"/>
      <c r="K9" s="130"/>
      <c r="L9" s="68"/>
      <c r="M9" s="68"/>
      <c r="N9" s="68"/>
      <c r="O9" s="68"/>
      <c r="P9" s="130"/>
      <c r="Q9" s="68">
        <v>20050</v>
      </c>
      <c r="R9" s="7">
        <f t="shared" si="0"/>
        <v>20050</v>
      </c>
      <c r="S9" s="7">
        <f t="shared" si="1"/>
        <v>0</v>
      </c>
    </row>
    <row r="10" spans="1:19" ht="15">
      <c r="A10" s="4" t="s">
        <v>109</v>
      </c>
      <c r="B10" s="109">
        <v>5000</v>
      </c>
      <c r="C10" s="63"/>
      <c r="D10" s="109">
        <v>5000</v>
      </c>
      <c r="E10" s="109">
        <v>5000</v>
      </c>
      <c r="F10" s="127">
        <f>+E10-B10</f>
        <v>0</v>
      </c>
      <c r="G10" s="128"/>
      <c r="H10" s="129"/>
      <c r="I10" s="91"/>
      <c r="J10" s="130"/>
      <c r="K10" s="130"/>
      <c r="L10" s="130"/>
      <c r="M10" s="68"/>
      <c r="N10" s="68"/>
      <c r="O10" s="130"/>
      <c r="P10" s="130"/>
      <c r="Q10" s="68"/>
      <c r="R10" s="7">
        <f t="shared" si="0"/>
        <v>0</v>
      </c>
      <c r="S10" s="7">
        <f t="shared" si="1"/>
        <v>-5000</v>
      </c>
    </row>
    <row r="11" spans="1:19" ht="15">
      <c r="A11" s="4" t="s">
        <v>5</v>
      </c>
      <c r="B11" s="109">
        <v>12550</v>
      </c>
      <c r="C11" s="64">
        <v>6279</v>
      </c>
      <c r="D11" s="109">
        <v>12550</v>
      </c>
      <c r="E11" s="109">
        <v>12550</v>
      </c>
      <c r="F11" s="127">
        <f>+E11-B11</f>
        <v>0</v>
      </c>
      <c r="G11" s="128"/>
      <c r="H11" s="129"/>
      <c r="I11" s="91"/>
      <c r="J11" s="130"/>
      <c r="K11" s="130"/>
      <c r="L11" s="68"/>
      <c r="M11" s="68"/>
      <c r="N11" s="68"/>
      <c r="O11" s="68"/>
      <c r="P11" s="130"/>
      <c r="Q11" s="68">
        <v>12550</v>
      </c>
      <c r="R11" s="7">
        <f t="shared" si="0"/>
        <v>12550</v>
      </c>
      <c r="S11" s="7">
        <f t="shared" si="1"/>
        <v>0</v>
      </c>
    </row>
    <row r="12" spans="1:19" ht="15.75" thickBot="1">
      <c r="A12" s="4" t="s">
        <v>207</v>
      </c>
      <c r="B12" s="109"/>
      <c r="C12" s="126"/>
      <c r="D12" s="109"/>
      <c r="E12" s="109">
        <v>52417</v>
      </c>
      <c r="F12" s="127"/>
      <c r="G12" s="128"/>
      <c r="H12" s="129"/>
      <c r="I12" s="91"/>
      <c r="J12" s="130"/>
      <c r="K12" s="130"/>
      <c r="L12" s="68"/>
      <c r="M12" s="68"/>
      <c r="N12" s="68"/>
      <c r="O12" s="68"/>
      <c r="P12" s="130"/>
      <c r="Q12" s="68"/>
      <c r="R12" s="7"/>
      <c r="S12" s="7"/>
    </row>
    <row r="13" spans="1:19" ht="15.75" thickBot="1">
      <c r="A13" s="48" t="s">
        <v>6</v>
      </c>
      <c r="B13" s="110">
        <f>SUM(B7:B11)</f>
        <v>532100</v>
      </c>
      <c r="C13" s="43">
        <f aca="true" t="shared" si="2" ref="C13:Q13">SUM(C7:C11)</f>
        <v>262555</v>
      </c>
      <c r="D13" s="110">
        <f t="shared" si="2"/>
        <v>569600</v>
      </c>
      <c r="E13" s="110">
        <f>SUM(E7:E12)</f>
        <v>516125</v>
      </c>
      <c r="F13" s="132">
        <f t="shared" si="2"/>
        <v>-68392</v>
      </c>
      <c r="G13" s="133">
        <f t="shared" si="2"/>
        <v>123880</v>
      </c>
      <c r="H13" s="134">
        <f t="shared" si="2"/>
        <v>101481</v>
      </c>
      <c r="I13" s="135">
        <f t="shared" si="2"/>
        <v>0</v>
      </c>
      <c r="J13" s="136">
        <f t="shared" si="2"/>
        <v>0</v>
      </c>
      <c r="K13" s="136">
        <f t="shared" si="2"/>
        <v>0</v>
      </c>
      <c r="L13" s="136">
        <f t="shared" si="2"/>
        <v>0</v>
      </c>
      <c r="M13" s="136">
        <f t="shared" si="2"/>
        <v>0</v>
      </c>
      <c r="N13" s="136">
        <f t="shared" si="2"/>
        <v>0</v>
      </c>
      <c r="O13" s="136">
        <f t="shared" si="2"/>
        <v>0</v>
      </c>
      <c r="P13" s="136">
        <f t="shared" si="2"/>
        <v>0</v>
      </c>
      <c r="Q13" s="110">
        <f t="shared" si="2"/>
        <v>319062</v>
      </c>
      <c r="R13" s="12">
        <f t="shared" si="0"/>
        <v>544423</v>
      </c>
      <c r="S13" s="7">
        <f t="shared" si="1"/>
        <v>28298</v>
      </c>
    </row>
    <row r="14" spans="1:19" ht="15">
      <c r="A14" s="46" t="s">
        <v>7</v>
      </c>
      <c r="B14" s="91"/>
      <c r="C14" s="137"/>
      <c r="D14" s="91"/>
      <c r="E14" s="91"/>
      <c r="F14" s="125"/>
      <c r="G14" s="128"/>
      <c r="H14" s="129"/>
      <c r="I14" s="91"/>
      <c r="J14" s="91"/>
      <c r="K14" s="91"/>
      <c r="L14" s="91"/>
      <c r="M14" s="91"/>
      <c r="N14" s="91"/>
      <c r="O14" s="91"/>
      <c r="P14" s="91"/>
      <c r="Q14" s="91"/>
      <c r="R14" s="13">
        <f t="shared" si="0"/>
        <v>0</v>
      </c>
      <c r="S14" s="7">
        <f t="shared" si="1"/>
        <v>0</v>
      </c>
    </row>
    <row r="15" spans="1:19" ht="15">
      <c r="A15" s="46" t="s">
        <v>8</v>
      </c>
      <c r="B15" s="91"/>
      <c r="C15" s="137"/>
      <c r="D15" s="91"/>
      <c r="E15" s="91"/>
      <c r="F15" s="125"/>
      <c r="G15" s="128"/>
      <c r="H15" s="129"/>
      <c r="I15" s="91"/>
      <c r="J15" s="91"/>
      <c r="K15" s="91"/>
      <c r="L15" s="91"/>
      <c r="M15" s="91"/>
      <c r="N15" s="91"/>
      <c r="O15" s="91"/>
      <c r="P15" s="91"/>
      <c r="Q15" s="91"/>
      <c r="R15" s="13">
        <f t="shared" si="0"/>
        <v>0</v>
      </c>
      <c r="S15" s="7">
        <f t="shared" si="1"/>
        <v>0</v>
      </c>
    </row>
    <row r="16" spans="1:19" ht="15.75" thickBot="1">
      <c r="A16" s="46" t="s">
        <v>9</v>
      </c>
      <c r="B16" s="111"/>
      <c r="C16" s="138"/>
      <c r="D16" s="111"/>
      <c r="E16" s="111"/>
      <c r="F16" s="140"/>
      <c r="G16" s="141"/>
      <c r="H16" s="142"/>
      <c r="I16" s="111"/>
      <c r="J16" s="111"/>
      <c r="K16" s="111"/>
      <c r="L16" s="111"/>
      <c r="M16" s="111"/>
      <c r="N16" s="111"/>
      <c r="O16" s="111"/>
      <c r="P16" s="111"/>
      <c r="Q16" s="143"/>
      <c r="R16" s="14">
        <f t="shared" si="0"/>
        <v>0</v>
      </c>
      <c r="S16" s="7">
        <f t="shared" si="1"/>
        <v>0</v>
      </c>
    </row>
    <row r="17" spans="1:19" ht="15">
      <c r="A17" s="4" t="s">
        <v>99</v>
      </c>
      <c r="B17" s="109"/>
      <c r="C17" s="66"/>
      <c r="D17" s="109"/>
      <c r="E17" s="109"/>
      <c r="F17" s="127"/>
      <c r="G17" s="128"/>
      <c r="H17" s="129"/>
      <c r="I17" s="91"/>
      <c r="J17" s="130"/>
      <c r="K17" s="130"/>
      <c r="L17" s="130"/>
      <c r="M17" s="130"/>
      <c r="N17" s="130"/>
      <c r="O17" s="130"/>
      <c r="P17" s="130"/>
      <c r="Q17" s="68">
        <v>0</v>
      </c>
      <c r="R17" s="7">
        <f t="shared" si="0"/>
        <v>0</v>
      </c>
      <c r="S17" s="7">
        <f t="shared" si="1"/>
        <v>0</v>
      </c>
    </row>
    <row r="18" spans="1:19" ht="15">
      <c r="A18" s="4" t="s">
        <v>100</v>
      </c>
      <c r="B18" s="109"/>
      <c r="C18" s="64"/>
      <c r="D18" s="109"/>
      <c r="E18" s="109"/>
      <c r="F18" s="127">
        <f aca="true" t="shared" si="3" ref="F18:F23">+E18-D18</f>
        <v>0</v>
      </c>
      <c r="G18" s="128"/>
      <c r="H18" s="129"/>
      <c r="I18" s="91"/>
      <c r="J18" s="130"/>
      <c r="K18" s="130"/>
      <c r="L18" s="130"/>
      <c r="M18" s="130"/>
      <c r="N18" s="130"/>
      <c r="O18" s="130"/>
      <c r="P18" s="130"/>
      <c r="Q18" s="68">
        <f>+E18-G18-H18</f>
        <v>0</v>
      </c>
      <c r="R18" s="7">
        <f t="shared" si="0"/>
        <v>0</v>
      </c>
      <c r="S18" s="7">
        <f t="shared" si="1"/>
        <v>0</v>
      </c>
    </row>
    <row r="19" spans="1:19" ht="15">
      <c r="A19" s="4" t="s">
        <v>115</v>
      </c>
      <c r="B19" s="109"/>
      <c r="C19" s="64"/>
      <c r="D19" s="109"/>
      <c r="E19" s="109"/>
      <c r="F19" s="127">
        <f t="shared" si="3"/>
        <v>0</v>
      </c>
      <c r="G19" s="128"/>
      <c r="H19" s="129"/>
      <c r="I19" s="91"/>
      <c r="J19" s="130"/>
      <c r="K19" s="130"/>
      <c r="L19" s="130"/>
      <c r="M19" s="130"/>
      <c r="N19" s="130"/>
      <c r="O19" s="130"/>
      <c r="P19" s="130"/>
      <c r="Q19" s="68">
        <f>+E19-G19-H19</f>
        <v>0</v>
      </c>
      <c r="R19" s="7">
        <f t="shared" si="0"/>
        <v>0</v>
      </c>
      <c r="S19" s="7">
        <f t="shared" si="1"/>
        <v>0</v>
      </c>
    </row>
    <row r="20" spans="1:19" ht="15">
      <c r="A20" s="4" t="s">
        <v>101</v>
      </c>
      <c r="B20" s="109"/>
      <c r="C20" s="64"/>
      <c r="D20" s="109"/>
      <c r="E20" s="109"/>
      <c r="F20" s="127">
        <f t="shared" si="3"/>
        <v>0</v>
      </c>
      <c r="G20" s="128"/>
      <c r="H20" s="129"/>
      <c r="I20" s="91"/>
      <c r="J20" s="130"/>
      <c r="K20" s="130"/>
      <c r="L20" s="130"/>
      <c r="M20" s="130"/>
      <c r="N20" s="130"/>
      <c r="O20" s="130"/>
      <c r="P20" s="130"/>
      <c r="Q20" s="68">
        <f>+E20-G20-H20</f>
        <v>0</v>
      </c>
      <c r="R20" s="7">
        <f t="shared" si="0"/>
        <v>0</v>
      </c>
      <c r="S20" s="7">
        <f t="shared" si="1"/>
        <v>0</v>
      </c>
    </row>
    <row r="21" spans="1:19" ht="15">
      <c r="A21" s="4" t="s">
        <v>102</v>
      </c>
      <c r="B21" s="109"/>
      <c r="C21" s="64"/>
      <c r="D21" s="109"/>
      <c r="E21" s="109"/>
      <c r="F21" s="127">
        <f t="shared" si="3"/>
        <v>0</v>
      </c>
      <c r="G21" s="128"/>
      <c r="H21" s="129"/>
      <c r="I21" s="91"/>
      <c r="J21" s="130"/>
      <c r="K21" s="130"/>
      <c r="L21" s="130"/>
      <c r="M21" s="130"/>
      <c r="N21" s="130"/>
      <c r="O21" s="130"/>
      <c r="P21" s="130"/>
      <c r="Q21" s="68">
        <v>0</v>
      </c>
      <c r="R21" s="7">
        <f t="shared" si="0"/>
        <v>0</v>
      </c>
      <c r="S21" s="7">
        <f t="shared" si="1"/>
        <v>0</v>
      </c>
    </row>
    <row r="22" spans="1:19" ht="15">
      <c r="A22" s="4" t="s">
        <v>106</v>
      </c>
      <c r="B22" s="109"/>
      <c r="C22" s="64"/>
      <c r="D22" s="109"/>
      <c r="E22" s="109"/>
      <c r="F22" s="144">
        <f t="shared" si="3"/>
        <v>0</v>
      </c>
      <c r="G22" s="128"/>
      <c r="H22" s="129"/>
      <c r="I22" s="91"/>
      <c r="J22" s="130"/>
      <c r="K22" s="130"/>
      <c r="L22" s="130"/>
      <c r="M22" s="130"/>
      <c r="N22" s="130"/>
      <c r="O22" s="130"/>
      <c r="P22" s="130"/>
      <c r="Q22" s="68"/>
      <c r="R22" s="7"/>
      <c r="S22" s="7"/>
    </row>
    <row r="23" spans="1:19" ht="15">
      <c r="A23" s="4" t="s">
        <v>158</v>
      </c>
      <c r="B23" s="109"/>
      <c r="C23" s="64"/>
      <c r="D23" s="109"/>
      <c r="E23" s="109"/>
      <c r="F23" s="144">
        <f t="shared" si="3"/>
        <v>0</v>
      </c>
      <c r="G23" s="128"/>
      <c r="H23" s="129"/>
      <c r="I23" s="91"/>
      <c r="J23" s="130"/>
      <c r="K23" s="130"/>
      <c r="L23" s="130"/>
      <c r="M23" s="130"/>
      <c r="N23" s="130"/>
      <c r="O23" s="130"/>
      <c r="P23" s="130"/>
      <c r="Q23" s="68"/>
      <c r="R23" s="7"/>
      <c r="S23" s="7"/>
    </row>
    <row r="24" spans="1:19" ht="15.75" thickBot="1">
      <c r="A24" s="4" t="s">
        <v>103</v>
      </c>
      <c r="B24" s="109"/>
      <c r="C24" s="67"/>
      <c r="D24" s="109"/>
      <c r="E24" s="109"/>
      <c r="F24" s="127"/>
      <c r="G24" s="128"/>
      <c r="H24" s="129"/>
      <c r="I24" s="91"/>
      <c r="J24" s="130"/>
      <c r="K24" s="68"/>
      <c r="L24" s="130"/>
      <c r="M24" s="130"/>
      <c r="N24" s="130"/>
      <c r="O24" s="130"/>
      <c r="P24" s="130"/>
      <c r="Q24" s="68">
        <v>0</v>
      </c>
      <c r="R24" s="7">
        <f t="shared" si="0"/>
        <v>0</v>
      </c>
      <c r="S24" s="7">
        <f t="shared" si="1"/>
        <v>0</v>
      </c>
    </row>
    <row r="25" spans="1:19" ht="15.75" thickBot="1">
      <c r="A25" s="48" t="s">
        <v>6</v>
      </c>
      <c r="B25" s="43">
        <v>13000</v>
      </c>
      <c r="C25" s="43">
        <v>25478.06</v>
      </c>
      <c r="D25" s="43">
        <v>15000</v>
      </c>
      <c r="E25" s="43">
        <v>15000</v>
      </c>
      <c r="F25" s="132">
        <f>+E25-B25</f>
        <v>2000</v>
      </c>
      <c r="G25" s="133">
        <f aca="true" t="shared" si="4" ref="G25:P25">SUM(G16:G24)</f>
        <v>0</v>
      </c>
      <c r="H25" s="134">
        <f t="shared" si="4"/>
        <v>0</v>
      </c>
      <c r="I25" s="135">
        <f t="shared" si="4"/>
        <v>0</v>
      </c>
      <c r="J25" s="136">
        <f>SUM(J16:J24)</f>
        <v>0</v>
      </c>
      <c r="K25" s="136">
        <f t="shared" si="4"/>
        <v>0</v>
      </c>
      <c r="L25" s="136">
        <f t="shared" si="4"/>
        <v>0</v>
      </c>
      <c r="M25" s="136">
        <f t="shared" si="4"/>
        <v>0</v>
      </c>
      <c r="N25" s="136">
        <f t="shared" si="4"/>
        <v>0</v>
      </c>
      <c r="O25" s="136">
        <f t="shared" si="4"/>
        <v>0</v>
      </c>
      <c r="P25" s="136">
        <f t="shared" si="4"/>
        <v>0</v>
      </c>
      <c r="Q25" s="110">
        <v>13000</v>
      </c>
      <c r="R25" s="44">
        <f t="shared" si="0"/>
        <v>13000</v>
      </c>
      <c r="S25" s="7">
        <f t="shared" si="1"/>
        <v>-2000</v>
      </c>
    </row>
    <row r="26" spans="1:19" ht="15">
      <c r="A26" s="46" t="s">
        <v>10</v>
      </c>
      <c r="B26" s="91"/>
      <c r="C26" s="146"/>
      <c r="D26" s="91"/>
      <c r="E26" s="91"/>
      <c r="F26" s="125"/>
      <c r="G26" s="128"/>
      <c r="H26" s="129"/>
      <c r="I26" s="91"/>
      <c r="J26" s="91"/>
      <c r="K26" s="91"/>
      <c r="L26" s="91"/>
      <c r="M26" s="91"/>
      <c r="N26" s="91"/>
      <c r="O26" s="91"/>
      <c r="P26" s="91"/>
      <c r="Q26" s="91"/>
      <c r="R26" s="13">
        <f t="shared" si="0"/>
        <v>0</v>
      </c>
      <c r="S26" s="7">
        <f t="shared" si="1"/>
        <v>0</v>
      </c>
    </row>
    <row r="27" spans="1:19" ht="15">
      <c r="A27" s="4" t="s">
        <v>11</v>
      </c>
      <c r="B27" s="109">
        <v>49200</v>
      </c>
      <c r="C27" s="63">
        <v>24900</v>
      </c>
      <c r="D27" s="109">
        <v>60200</v>
      </c>
      <c r="E27" s="109">
        <v>45200</v>
      </c>
      <c r="F27" s="144">
        <f>+E27-B27</f>
        <v>-4000</v>
      </c>
      <c r="G27" s="109">
        <v>60200</v>
      </c>
      <c r="H27" s="129"/>
      <c r="I27" s="91"/>
      <c r="J27" s="130"/>
      <c r="K27" s="130"/>
      <c r="L27" s="130"/>
      <c r="M27" s="130"/>
      <c r="N27" s="130"/>
      <c r="O27" s="130"/>
      <c r="P27" s="130"/>
      <c r="Q27" s="68"/>
      <c r="R27" s="7">
        <f t="shared" si="0"/>
        <v>60200</v>
      </c>
      <c r="S27" s="7">
        <f t="shared" si="1"/>
        <v>15000</v>
      </c>
    </row>
    <row r="28" spans="1:19" ht="15">
      <c r="A28" s="4" t="s">
        <v>157</v>
      </c>
      <c r="B28" s="109">
        <v>7200</v>
      </c>
      <c r="C28" s="64">
        <v>1158.75</v>
      </c>
      <c r="D28" s="109">
        <v>6400</v>
      </c>
      <c r="E28" s="109">
        <v>4900</v>
      </c>
      <c r="F28" s="127">
        <f aca="true" t="shared" si="5" ref="F28:F45">+E28-B28</f>
        <v>-2300</v>
      </c>
      <c r="G28" s="109">
        <v>6400</v>
      </c>
      <c r="H28" s="129"/>
      <c r="I28" s="91"/>
      <c r="J28" s="130"/>
      <c r="K28" s="130"/>
      <c r="L28" s="130"/>
      <c r="M28" s="130"/>
      <c r="N28" s="130"/>
      <c r="O28" s="130"/>
      <c r="P28" s="130"/>
      <c r="Q28" s="68"/>
      <c r="R28" s="7">
        <f t="shared" si="0"/>
        <v>6400</v>
      </c>
      <c r="S28" s="7"/>
    </row>
    <row r="29" spans="1:19" ht="15">
      <c r="A29" s="4" t="s">
        <v>155</v>
      </c>
      <c r="B29" s="109">
        <v>0</v>
      </c>
      <c r="C29" s="63">
        <v>0</v>
      </c>
      <c r="D29" s="109"/>
      <c r="E29" s="109">
        <v>0</v>
      </c>
      <c r="F29" s="144">
        <f t="shared" si="5"/>
        <v>0</v>
      </c>
      <c r="G29" s="109">
        <v>0</v>
      </c>
      <c r="H29" s="129"/>
      <c r="I29" s="91"/>
      <c r="J29" s="130"/>
      <c r="K29" s="130"/>
      <c r="L29" s="68"/>
      <c r="M29" s="68"/>
      <c r="N29" s="68"/>
      <c r="O29" s="68"/>
      <c r="P29" s="68"/>
      <c r="Q29" s="68"/>
      <c r="R29" s="7">
        <f t="shared" si="0"/>
        <v>0</v>
      </c>
      <c r="S29" s="7">
        <f t="shared" si="1"/>
        <v>0</v>
      </c>
    </row>
    <row r="30" spans="1:19" ht="15">
      <c r="A30" s="4" t="s">
        <v>170</v>
      </c>
      <c r="B30" s="109">
        <v>16000</v>
      </c>
      <c r="C30" s="63">
        <v>10834.5</v>
      </c>
      <c r="D30" s="109">
        <v>20000</v>
      </c>
      <c r="E30" s="109">
        <v>16500</v>
      </c>
      <c r="F30" s="144">
        <f t="shared" si="5"/>
        <v>500</v>
      </c>
      <c r="G30" s="128"/>
      <c r="H30" s="129"/>
      <c r="I30" s="91"/>
      <c r="J30" s="130"/>
      <c r="K30" s="130"/>
      <c r="L30" s="130"/>
      <c r="M30" s="130"/>
      <c r="N30" s="130"/>
      <c r="O30" s="130"/>
      <c r="P30" s="130"/>
      <c r="Q30" s="68">
        <v>16000</v>
      </c>
      <c r="R30" s="7">
        <f t="shared" si="0"/>
        <v>16000</v>
      </c>
      <c r="S30" s="7">
        <f t="shared" si="1"/>
        <v>-500</v>
      </c>
    </row>
    <row r="31" spans="1:19" ht="15">
      <c r="A31" s="4" t="s">
        <v>156</v>
      </c>
      <c r="B31" s="109">
        <v>2000</v>
      </c>
      <c r="C31" s="63">
        <v>333.5</v>
      </c>
      <c r="D31" s="109">
        <v>1000</v>
      </c>
      <c r="E31" s="109">
        <v>1000</v>
      </c>
      <c r="F31" s="144">
        <f t="shared" si="5"/>
        <v>-1000</v>
      </c>
      <c r="G31" s="128"/>
      <c r="H31" s="129"/>
      <c r="I31" s="91"/>
      <c r="J31" s="130"/>
      <c r="K31" s="130"/>
      <c r="L31" s="130"/>
      <c r="M31" s="130"/>
      <c r="N31" s="130"/>
      <c r="O31" s="130"/>
      <c r="P31" s="130"/>
      <c r="Q31" s="68">
        <v>2000</v>
      </c>
      <c r="R31" s="7">
        <f t="shared" si="0"/>
        <v>2000</v>
      </c>
      <c r="S31" s="7">
        <f t="shared" si="1"/>
        <v>1000</v>
      </c>
    </row>
    <row r="32" spans="1:19" ht="15">
      <c r="A32" s="4" t="s">
        <v>12</v>
      </c>
      <c r="B32" s="109">
        <v>1500</v>
      </c>
      <c r="C32" s="63">
        <v>703.98</v>
      </c>
      <c r="D32" s="109">
        <v>1500</v>
      </c>
      <c r="E32" s="109">
        <v>1500</v>
      </c>
      <c r="F32" s="144">
        <f t="shared" si="5"/>
        <v>0</v>
      </c>
      <c r="G32" s="128"/>
      <c r="H32" s="129"/>
      <c r="I32" s="91"/>
      <c r="J32" s="130"/>
      <c r="K32" s="130"/>
      <c r="L32" s="130"/>
      <c r="M32" s="130"/>
      <c r="N32" s="130"/>
      <c r="O32" s="130"/>
      <c r="P32" s="130"/>
      <c r="Q32" s="68">
        <v>1500</v>
      </c>
      <c r="R32" s="7">
        <f t="shared" si="0"/>
        <v>1500</v>
      </c>
      <c r="S32" s="7">
        <f t="shared" si="1"/>
        <v>0</v>
      </c>
    </row>
    <row r="33" spans="1:19" ht="15">
      <c r="A33" s="4" t="s">
        <v>104</v>
      </c>
      <c r="B33" s="109">
        <v>100</v>
      </c>
      <c r="C33" s="63">
        <v>1</v>
      </c>
      <c r="D33" s="109">
        <v>100</v>
      </c>
      <c r="E33" s="109">
        <v>100</v>
      </c>
      <c r="F33" s="144">
        <f t="shared" si="5"/>
        <v>0</v>
      </c>
      <c r="G33" s="128"/>
      <c r="H33" s="129"/>
      <c r="I33" s="91"/>
      <c r="J33" s="130"/>
      <c r="K33" s="130"/>
      <c r="L33" s="130"/>
      <c r="M33" s="130"/>
      <c r="N33" s="130"/>
      <c r="O33" s="130"/>
      <c r="P33" s="130"/>
      <c r="Q33" s="68">
        <v>100</v>
      </c>
      <c r="R33" s="7">
        <f t="shared" si="0"/>
        <v>100</v>
      </c>
      <c r="S33" s="7">
        <f t="shared" si="1"/>
        <v>0</v>
      </c>
    </row>
    <row r="34" spans="1:19" ht="15">
      <c r="A34" s="4" t="s">
        <v>13</v>
      </c>
      <c r="B34" s="109">
        <v>0</v>
      </c>
      <c r="C34" s="64">
        <v>0</v>
      </c>
      <c r="D34" s="109">
        <v>0</v>
      </c>
      <c r="E34" s="109">
        <v>0</v>
      </c>
      <c r="F34" s="144">
        <f t="shared" si="5"/>
        <v>0</v>
      </c>
      <c r="G34" s="128"/>
      <c r="H34" s="129"/>
      <c r="I34" s="91"/>
      <c r="J34" s="109"/>
      <c r="K34" s="130"/>
      <c r="L34" s="130"/>
      <c r="M34" s="130"/>
      <c r="N34" s="130"/>
      <c r="O34" s="130"/>
      <c r="P34" s="130"/>
      <c r="Q34" s="68"/>
      <c r="R34" s="7">
        <f t="shared" si="0"/>
        <v>0</v>
      </c>
      <c r="S34" s="7">
        <f t="shared" si="1"/>
        <v>0</v>
      </c>
    </row>
    <row r="35" spans="1:19" ht="15">
      <c r="A35" s="4" t="s">
        <v>14</v>
      </c>
      <c r="B35" s="109">
        <v>0</v>
      </c>
      <c r="C35" s="63">
        <v>0</v>
      </c>
      <c r="D35" s="109">
        <v>0</v>
      </c>
      <c r="E35" s="109">
        <v>0</v>
      </c>
      <c r="F35" s="144">
        <f t="shared" si="5"/>
        <v>0</v>
      </c>
      <c r="G35" s="128"/>
      <c r="H35" s="129"/>
      <c r="I35" s="91"/>
      <c r="J35" s="109"/>
      <c r="K35" s="130"/>
      <c r="L35" s="130"/>
      <c r="M35" s="130"/>
      <c r="N35" s="130"/>
      <c r="O35" s="130"/>
      <c r="P35" s="130"/>
      <c r="Q35" s="68"/>
      <c r="R35" s="7">
        <f t="shared" si="0"/>
        <v>0</v>
      </c>
      <c r="S35" s="7">
        <f t="shared" si="1"/>
        <v>0</v>
      </c>
    </row>
    <row r="36" spans="1:19" ht="15">
      <c r="A36" s="4" t="s">
        <v>15</v>
      </c>
      <c r="B36" s="109">
        <v>13750</v>
      </c>
      <c r="C36" s="63">
        <v>8808.6</v>
      </c>
      <c r="D36" s="109">
        <v>18000</v>
      </c>
      <c r="E36" s="109">
        <v>13500</v>
      </c>
      <c r="F36" s="144">
        <f t="shared" si="5"/>
        <v>-250</v>
      </c>
      <c r="G36" s="128"/>
      <c r="H36" s="129"/>
      <c r="I36" s="91"/>
      <c r="J36" s="109"/>
      <c r="K36" s="130"/>
      <c r="L36" s="130"/>
      <c r="M36" s="130"/>
      <c r="N36" s="130"/>
      <c r="O36" s="130"/>
      <c r="P36" s="130"/>
      <c r="Q36" s="68">
        <v>13750</v>
      </c>
      <c r="R36" s="7">
        <f t="shared" si="0"/>
        <v>13750</v>
      </c>
      <c r="S36" s="7">
        <f t="shared" si="1"/>
        <v>250</v>
      </c>
    </row>
    <row r="37" spans="1:19" ht="15">
      <c r="A37" s="4" t="s">
        <v>124</v>
      </c>
      <c r="B37" s="109">
        <v>0</v>
      </c>
      <c r="C37" s="63">
        <v>0</v>
      </c>
      <c r="D37" s="109">
        <v>0</v>
      </c>
      <c r="E37" s="109">
        <v>0</v>
      </c>
      <c r="F37" s="144">
        <f t="shared" si="5"/>
        <v>0</v>
      </c>
      <c r="G37" s="128"/>
      <c r="H37" s="129"/>
      <c r="I37" s="91"/>
      <c r="J37" s="109"/>
      <c r="K37" s="130"/>
      <c r="L37" s="130"/>
      <c r="M37" s="130"/>
      <c r="N37" s="130"/>
      <c r="O37" s="130"/>
      <c r="P37" s="130"/>
      <c r="Q37" s="68"/>
      <c r="R37" s="7">
        <f t="shared" si="0"/>
        <v>0</v>
      </c>
      <c r="S37" s="7">
        <f t="shared" si="1"/>
        <v>0</v>
      </c>
    </row>
    <row r="38" spans="1:19" ht="15">
      <c r="A38" s="4" t="s">
        <v>16</v>
      </c>
      <c r="B38" s="109">
        <v>1000</v>
      </c>
      <c r="C38" s="63">
        <v>945</v>
      </c>
      <c r="D38" s="109">
        <v>1200</v>
      </c>
      <c r="E38" s="109">
        <v>1200</v>
      </c>
      <c r="F38" s="144">
        <f t="shared" si="5"/>
        <v>200</v>
      </c>
      <c r="G38" s="128"/>
      <c r="H38" s="129"/>
      <c r="I38" s="91"/>
      <c r="J38" s="109"/>
      <c r="K38" s="130"/>
      <c r="L38" s="130"/>
      <c r="M38" s="130"/>
      <c r="N38" s="130"/>
      <c r="O38" s="130"/>
      <c r="P38" s="130"/>
      <c r="Q38" s="68">
        <v>1000</v>
      </c>
      <c r="R38" s="7">
        <f t="shared" si="0"/>
        <v>1000</v>
      </c>
      <c r="S38" s="7">
        <f t="shared" si="1"/>
        <v>-200</v>
      </c>
    </row>
    <row r="39" spans="1:19" ht="15">
      <c r="A39" s="4" t="s">
        <v>17</v>
      </c>
      <c r="B39" s="109">
        <v>58000</v>
      </c>
      <c r="C39" s="63">
        <v>30361.75</v>
      </c>
      <c r="D39" s="109">
        <v>66600</v>
      </c>
      <c r="E39" s="109">
        <v>50100</v>
      </c>
      <c r="F39" s="144">
        <f t="shared" si="5"/>
        <v>-7900</v>
      </c>
      <c r="G39" s="128"/>
      <c r="H39" s="129">
        <v>66600</v>
      </c>
      <c r="I39" s="91"/>
      <c r="J39" s="130"/>
      <c r="K39" s="130"/>
      <c r="L39" s="130"/>
      <c r="M39" s="130"/>
      <c r="N39" s="130"/>
      <c r="O39" s="130"/>
      <c r="P39" s="130"/>
      <c r="Q39" s="68"/>
      <c r="R39" s="7">
        <f t="shared" si="0"/>
        <v>66600</v>
      </c>
      <c r="S39" s="7">
        <f t="shared" si="1"/>
        <v>16500</v>
      </c>
    </row>
    <row r="40" spans="1:19" ht="15">
      <c r="A40" s="4" t="s">
        <v>18</v>
      </c>
      <c r="B40" s="109">
        <v>9600</v>
      </c>
      <c r="C40" s="63">
        <v>4590</v>
      </c>
      <c r="D40" s="109">
        <v>12000</v>
      </c>
      <c r="E40" s="109">
        <v>9000</v>
      </c>
      <c r="F40" s="144">
        <f t="shared" si="5"/>
        <v>-600</v>
      </c>
      <c r="G40" s="128"/>
      <c r="H40" s="129">
        <v>12000</v>
      </c>
      <c r="I40" s="91"/>
      <c r="J40" s="130"/>
      <c r="K40" s="130"/>
      <c r="L40" s="130"/>
      <c r="M40" s="130"/>
      <c r="N40" s="130"/>
      <c r="O40" s="130"/>
      <c r="P40" s="130"/>
      <c r="Q40" s="68"/>
      <c r="R40" s="7">
        <f t="shared" si="0"/>
        <v>12000</v>
      </c>
      <c r="S40" s="7">
        <f t="shared" si="1"/>
        <v>3000</v>
      </c>
    </row>
    <row r="41" spans="1:19" ht="15">
      <c r="A41" s="4" t="s">
        <v>122</v>
      </c>
      <c r="B41" s="109"/>
      <c r="C41" s="63">
        <v>0</v>
      </c>
      <c r="D41" s="109">
        <v>0</v>
      </c>
      <c r="E41" s="109"/>
      <c r="F41" s="144">
        <f t="shared" si="5"/>
        <v>0</v>
      </c>
      <c r="G41" s="128"/>
      <c r="H41" s="129"/>
      <c r="I41" s="91"/>
      <c r="J41" s="130"/>
      <c r="K41" s="130"/>
      <c r="L41" s="130"/>
      <c r="M41" s="130"/>
      <c r="N41" s="130"/>
      <c r="O41" s="130"/>
      <c r="P41" s="130"/>
      <c r="Q41" s="68"/>
      <c r="R41" s="7">
        <f t="shared" si="0"/>
        <v>0</v>
      </c>
      <c r="S41" s="7">
        <f t="shared" si="1"/>
        <v>0</v>
      </c>
    </row>
    <row r="42" spans="1:19" ht="15">
      <c r="A42" s="4" t="s">
        <v>125</v>
      </c>
      <c r="B42" s="109">
        <v>15900</v>
      </c>
      <c r="C42" s="63">
        <v>6840.76</v>
      </c>
      <c r="D42" s="109">
        <v>15000</v>
      </c>
      <c r="E42" s="109">
        <v>11250</v>
      </c>
      <c r="F42" s="144">
        <f t="shared" si="5"/>
        <v>-4650</v>
      </c>
      <c r="G42" s="128"/>
      <c r="H42" s="129"/>
      <c r="I42" s="91"/>
      <c r="J42" s="130"/>
      <c r="K42" s="130"/>
      <c r="L42" s="130"/>
      <c r="M42" s="130"/>
      <c r="N42" s="130"/>
      <c r="O42" s="130"/>
      <c r="P42" s="130"/>
      <c r="Q42" s="68">
        <v>15900</v>
      </c>
      <c r="R42" s="7">
        <f t="shared" si="0"/>
        <v>15900</v>
      </c>
      <c r="S42" s="7">
        <f t="shared" si="1"/>
        <v>4650</v>
      </c>
    </row>
    <row r="43" spans="1:19" ht="15">
      <c r="A43" s="4" t="s">
        <v>108</v>
      </c>
      <c r="B43" s="109">
        <v>1385</v>
      </c>
      <c r="C43" s="64">
        <v>290.35</v>
      </c>
      <c r="D43" s="109">
        <v>500</v>
      </c>
      <c r="E43" s="109">
        <v>500</v>
      </c>
      <c r="F43" s="144">
        <f t="shared" si="5"/>
        <v>-885</v>
      </c>
      <c r="G43" s="128"/>
      <c r="H43" s="129"/>
      <c r="I43" s="91"/>
      <c r="J43" s="130"/>
      <c r="K43" s="130"/>
      <c r="L43" s="130"/>
      <c r="M43" s="130"/>
      <c r="N43" s="130"/>
      <c r="O43" s="130"/>
      <c r="P43" s="130"/>
      <c r="Q43" s="68">
        <v>1385</v>
      </c>
      <c r="R43" s="7">
        <f t="shared" si="0"/>
        <v>1385</v>
      </c>
      <c r="S43" s="7">
        <f t="shared" si="1"/>
        <v>885</v>
      </c>
    </row>
    <row r="44" spans="1:19" ht="15">
      <c r="A44" s="4" t="s">
        <v>19</v>
      </c>
      <c r="B44" s="109">
        <v>1000</v>
      </c>
      <c r="C44" s="64">
        <v>970.5</v>
      </c>
      <c r="D44" s="109">
        <v>1500</v>
      </c>
      <c r="E44" s="109">
        <v>1500</v>
      </c>
      <c r="F44" s="144">
        <f t="shared" si="5"/>
        <v>500</v>
      </c>
      <c r="G44" s="128"/>
      <c r="H44" s="129"/>
      <c r="I44" s="91"/>
      <c r="J44" s="130"/>
      <c r="K44" s="130"/>
      <c r="L44" s="130"/>
      <c r="M44" s="130"/>
      <c r="N44" s="130"/>
      <c r="O44" s="130"/>
      <c r="P44" s="68"/>
      <c r="Q44" s="68">
        <v>1000</v>
      </c>
      <c r="R44" s="7">
        <f t="shared" si="0"/>
        <v>1000</v>
      </c>
      <c r="S44" s="7">
        <f t="shared" si="1"/>
        <v>-500</v>
      </c>
    </row>
    <row r="45" spans="1:19" ht="15.75" thickBot="1">
      <c r="A45" s="4" t="s">
        <v>126</v>
      </c>
      <c r="B45" s="112">
        <v>2000</v>
      </c>
      <c r="C45" s="147">
        <v>210.96</v>
      </c>
      <c r="D45" s="112">
        <v>2000</v>
      </c>
      <c r="E45" s="112">
        <v>2000</v>
      </c>
      <c r="F45" s="144">
        <f t="shared" si="5"/>
        <v>0</v>
      </c>
      <c r="G45" s="141"/>
      <c r="H45" s="142"/>
      <c r="I45" s="111"/>
      <c r="J45" s="148"/>
      <c r="K45" s="148"/>
      <c r="L45" s="148"/>
      <c r="M45" s="148"/>
      <c r="N45" s="148"/>
      <c r="O45" s="148"/>
      <c r="P45" s="148"/>
      <c r="Q45" s="68">
        <v>2000</v>
      </c>
      <c r="R45" s="16">
        <f t="shared" si="0"/>
        <v>2000</v>
      </c>
      <c r="S45" s="7">
        <f t="shared" si="1"/>
        <v>0</v>
      </c>
    </row>
    <row r="46" spans="1:19" ht="15.75" thickBot="1">
      <c r="A46" s="48" t="s">
        <v>6</v>
      </c>
      <c r="B46" s="110">
        <f>SUM(B27:B45)</f>
        <v>178635</v>
      </c>
      <c r="C46" s="43">
        <f aca="true" t="shared" si="6" ref="C46:Q46">SUM(C27:C45)</f>
        <v>90949.65000000001</v>
      </c>
      <c r="D46" s="110">
        <f t="shared" si="6"/>
        <v>206000</v>
      </c>
      <c r="E46" s="110">
        <f t="shared" si="6"/>
        <v>158250</v>
      </c>
      <c r="F46" s="132">
        <f t="shared" si="6"/>
        <v>-20385</v>
      </c>
      <c r="G46" s="133">
        <f t="shared" si="6"/>
        <v>66600</v>
      </c>
      <c r="H46" s="134">
        <f t="shared" si="6"/>
        <v>78600</v>
      </c>
      <c r="I46" s="135">
        <f t="shared" si="6"/>
        <v>0</v>
      </c>
      <c r="J46" s="136">
        <f t="shared" si="6"/>
        <v>0</v>
      </c>
      <c r="K46" s="136">
        <f t="shared" si="6"/>
        <v>0</v>
      </c>
      <c r="L46" s="136">
        <f t="shared" si="6"/>
        <v>0</v>
      </c>
      <c r="M46" s="136">
        <f t="shared" si="6"/>
        <v>0</v>
      </c>
      <c r="N46" s="136">
        <f t="shared" si="6"/>
        <v>0</v>
      </c>
      <c r="O46" s="136">
        <f t="shared" si="6"/>
        <v>0</v>
      </c>
      <c r="P46" s="136">
        <f t="shared" si="6"/>
        <v>0</v>
      </c>
      <c r="Q46" s="110">
        <f t="shared" si="6"/>
        <v>54635</v>
      </c>
      <c r="R46" s="12">
        <f t="shared" si="0"/>
        <v>199835</v>
      </c>
      <c r="S46" s="7">
        <f t="shared" si="1"/>
        <v>41585</v>
      </c>
    </row>
    <row r="47" spans="1:19" ht="15">
      <c r="A47" s="46" t="s">
        <v>20</v>
      </c>
      <c r="B47" s="91"/>
      <c r="C47" s="137"/>
      <c r="D47" s="91"/>
      <c r="E47" s="91"/>
      <c r="F47" s="125"/>
      <c r="G47" s="128"/>
      <c r="H47" s="129"/>
      <c r="I47" s="91"/>
      <c r="J47" s="91"/>
      <c r="K47" s="91"/>
      <c r="L47" s="91"/>
      <c r="M47" s="91"/>
      <c r="N47" s="91"/>
      <c r="O47" s="91"/>
      <c r="P47" s="91"/>
      <c r="Q47" s="91"/>
      <c r="R47" s="13">
        <f t="shared" si="0"/>
        <v>0</v>
      </c>
      <c r="S47" s="7">
        <f t="shared" si="1"/>
        <v>0</v>
      </c>
    </row>
    <row r="48" spans="1:19" ht="15">
      <c r="A48" s="5" t="s">
        <v>21</v>
      </c>
      <c r="B48" s="109"/>
      <c r="C48" s="109"/>
      <c r="D48" s="109"/>
      <c r="E48" s="109"/>
      <c r="F48" s="144">
        <f>+E48-D48</f>
        <v>0</v>
      </c>
      <c r="G48" s="128"/>
      <c r="H48" s="129"/>
      <c r="I48" s="91"/>
      <c r="J48" s="130"/>
      <c r="K48" s="130"/>
      <c r="L48" s="130"/>
      <c r="M48" s="130"/>
      <c r="N48" s="130"/>
      <c r="O48" s="130"/>
      <c r="P48" s="130"/>
      <c r="Q48" s="68"/>
      <c r="R48" s="7">
        <f t="shared" si="0"/>
        <v>0</v>
      </c>
      <c r="S48" s="7">
        <f t="shared" si="1"/>
        <v>0</v>
      </c>
    </row>
    <row r="49" spans="1:19" ht="15">
      <c r="A49" s="5" t="s">
        <v>153</v>
      </c>
      <c r="B49" s="109"/>
      <c r="C49" s="109"/>
      <c r="D49" s="109"/>
      <c r="E49" s="109"/>
      <c r="F49" s="144">
        <f>+E49-D49</f>
        <v>0</v>
      </c>
      <c r="G49" s="128"/>
      <c r="H49" s="129"/>
      <c r="I49" s="91"/>
      <c r="J49" s="130"/>
      <c r="K49" s="130"/>
      <c r="L49" s="130"/>
      <c r="M49" s="130"/>
      <c r="N49" s="130"/>
      <c r="O49" s="130"/>
      <c r="P49" s="130"/>
      <c r="Q49" s="68"/>
      <c r="R49" s="7">
        <f t="shared" si="0"/>
        <v>0</v>
      </c>
      <c r="S49" s="7">
        <f t="shared" si="1"/>
        <v>0</v>
      </c>
    </row>
    <row r="50" spans="1:19" ht="15">
      <c r="A50" s="5" t="s">
        <v>22</v>
      </c>
      <c r="B50" s="109"/>
      <c r="C50" s="109"/>
      <c r="D50" s="109"/>
      <c r="E50" s="109"/>
      <c r="F50" s="144">
        <f>+E50-D50</f>
        <v>0</v>
      </c>
      <c r="G50" s="128"/>
      <c r="H50" s="129"/>
      <c r="I50" s="91"/>
      <c r="J50" s="130"/>
      <c r="K50" s="130"/>
      <c r="L50" s="130"/>
      <c r="M50" s="130"/>
      <c r="N50" s="130"/>
      <c r="O50" s="130"/>
      <c r="P50" s="130"/>
      <c r="Q50" s="68"/>
      <c r="R50" s="7">
        <f t="shared" si="0"/>
        <v>0</v>
      </c>
      <c r="S50" s="7">
        <f t="shared" si="1"/>
        <v>0</v>
      </c>
    </row>
    <row r="51" spans="1:19" ht="15.75" thickBot="1">
      <c r="A51" s="5" t="s">
        <v>169</v>
      </c>
      <c r="B51" s="109">
        <v>15000</v>
      </c>
      <c r="C51" s="149">
        <v>639</v>
      </c>
      <c r="D51" s="109"/>
      <c r="E51" s="109"/>
      <c r="F51" s="144"/>
      <c r="G51" s="128"/>
      <c r="H51" s="129"/>
      <c r="I51" s="91"/>
      <c r="J51" s="130"/>
      <c r="K51" s="130"/>
      <c r="L51" s="130"/>
      <c r="M51" s="130"/>
      <c r="N51" s="130"/>
      <c r="O51" s="130"/>
      <c r="P51" s="130"/>
      <c r="Q51" s="68">
        <v>15000</v>
      </c>
      <c r="R51" s="7">
        <f t="shared" si="0"/>
        <v>15000</v>
      </c>
      <c r="S51" s="7">
        <f t="shared" si="1"/>
        <v>15000</v>
      </c>
    </row>
    <row r="52" spans="1:19" ht="15.75" thickBot="1">
      <c r="A52" s="48" t="s">
        <v>6</v>
      </c>
      <c r="B52" s="110">
        <f>SUM(B48:B51)</f>
        <v>15000</v>
      </c>
      <c r="C52" s="43">
        <f aca="true" t="shared" si="7" ref="C52:Q52">SUM(C48:C51)</f>
        <v>639</v>
      </c>
      <c r="D52" s="110">
        <v>15000</v>
      </c>
      <c r="E52" s="110">
        <v>15000</v>
      </c>
      <c r="F52" s="132">
        <f>SUM(F48:F51)</f>
        <v>0</v>
      </c>
      <c r="G52" s="133">
        <f t="shared" si="7"/>
        <v>0</v>
      </c>
      <c r="H52" s="134">
        <f t="shared" si="7"/>
        <v>0</v>
      </c>
      <c r="I52" s="135">
        <f t="shared" si="7"/>
        <v>0</v>
      </c>
      <c r="J52" s="136">
        <f>SUM(J48:J51)</f>
        <v>0</v>
      </c>
      <c r="K52" s="136">
        <f t="shared" si="7"/>
        <v>0</v>
      </c>
      <c r="L52" s="136">
        <f t="shared" si="7"/>
        <v>0</v>
      </c>
      <c r="M52" s="136">
        <f t="shared" si="7"/>
        <v>0</v>
      </c>
      <c r="N52" s="136">
        <f t="shared" si="7"/>
        <v>0</v>
      </c>
      <c r="O52" s="136">
        <f t="shared" si="7"/>
        <v>0</v>
      </c>
      <c r="P52" s="136">
        <f t="shared" si="7"/>
        <v>0</v>
      </c>
      <c r="Q52" s="110">
        <f t="shared" si="7"/>
        <v>15000</v>
      </c>
      <c r="R52" s="12">
        <f t="shared" si="0"/>
        <v>15000</v>
      </c>
      <c r="S52" s="7">
        <f t="shared" si="1"/>
        <v>0</v>
      </c>
    </row>
    <row r="53" spans="1:19" ht="15">
      <c r="A53" s="46" t="s">
        <v>23</v>
      </c>
      <c r="B53" s="91"/>
      <c r="C53" s="146"/>
      <c r="D53" s="91"/>
      <c r="E53" s="91"/>
      <c r="F53" s="125"/>
      <c r="G53" s="128"/>
      <c r="H53" s="129"/>
      <c r="I53" s="91"/>
      <c r="J53" s="91"/>
      <c r="K53" s="91"/>
      <c r="L53" s="91"/>
      <c r="M53" s="91"/>
      <c r="N53" s="91"/>
      <c r="O53" s="91"/>
      <c r="P53" s="91"/>
      <c r="Q53" s="91"/>
      <c r="R53" s="13">
        <f t="shared" si="0"/>
        <v>0</v>
      </c>
      <c r="S53" s="7">
        <f t="shared" si="1"/>
        <v>0</v>
      </c>
    </row>
    <row r="54" spans="1:19" ht="15">
      <c r="A54" s="4" t="s">
        <v>106</v>
      </c>
      <c r="B54" s="109">
        <v>0</v>
      </c>
      <c r="C54" s="64">
        <v>0</v>
      </c>
      <c r="D54" s="109">
        <v>0</v>
      </c>
      <c r="E54" s="109">
        <v>0</v>
      </c>
      <c r="F54" s="144"/>
      <c r="G54" s="128"/>
      <c r="H54" s="129"/>
      <c r="I54" s="91"/>
      <c r="J54" s="130"/>
      <c r="K54" s="130"/>
      <c r="L54" s="130"/>
      <c r="M54" s="130"/>
      <c r="N54" s="130"/>
      <c r="O54" s="130"/>
      <c r="P54" s="130"/>
      <c r="Q54" s="68">
        <v>0</v>
      </c>
      <c r="R54" s="7"/>
      <c r="S54" s="7">
        <f t="shared" si="1"/>
        <v>0</v>
      </c>
    </row>
    <row r="55" spans="1:19" ht="15">
      <c r="A55" s="4" t="s">
        <v>107</v>
      </c>
      <c r="B55" s="109">
        <v>0</v>
      </c>
      <c r="C55" s="64">
        <v>0</v>
      </c>
      <c r="D55" s="109">
        <v>6650</v>
      </c>
      <c r="E55" s="109">
        <v>25</v>
      </c>
      <c r="F55" s="144">
        <f>+E55-D55</f>
        <v>-6625</v>
      </c>
      <c r="G55" s="128"/>
      <c r="H55" s="129"/>
      <c r="I55" s="91"/>
      <c r="J55" s="130"/>
      <c r="K55" s="130"/>
      <c r="L55" s="130"/>
      <c r="M55" s="130"/>
      <c r="N55" s="130"/>
      <c r="O55" s="130"/>
      <c r="P55" s="130"/>
      <c r="Q55" s="68">
        <f>+E55-G55-H55</f>
        <v>25</v>
      </c>
      <c r="R55" s="7">
        <f>SUM(G55:Q55)</f>
        <v>25</v>
      </c>
      <c r="S55" s="7">
        <f t="shared" si="1"/>
        <v>0</v>
      </c>
    </row>
    <row r="56" spans="1:19" ht="15">
      <c r="A56" s="4" t="s">
        <v>24</v>
      </c>
      <c r="B56" s="109">
        <v>0</v>
      </c>
      <c r="C56" s="64">
        <v>1010.4</v>
      </c>
      <c r="D56" s="109">
        <v>1173</v>
      </c>
      <c r="E56" s="109"/>
      <c r="F56" s="144">
        <f>+E56-D56</f>
        <v>-1173</v>
      </c>
      <c r="G56" s="128"/>
      <c r="H56" s="129"/>
      <c r="I56" s="91"/>
      <c r="J56" s="130"/>
      <c r="K56" s="130"/>
      <c r="L56" s="130"/>
      <c r="M56" s="130"/>
      <c r="N56" s="130"/>
      <c r="O56" s="130"/>
      <c r="P56" s="130"/>
      <c r="Q56" s="68">
        <f>+E56-G56-H56</f>
        <v>0</v>
      </c>
      <c r="R56" s="7">
        <f t="shared" si="0"/>
        <v>0</v>
      </c>
      <c r="S56" s="7">
        <f t="shared" si="1"/>
        <v>0</v>
      </c>
    </row>
    <row r="57" spans="1:19" ht="15">
      <c r="A57" s="4" t="s">
        <v>25</v>
      </c>
      <c r="B57" s="109">
        <v>0</v>
      </c>
      <c r="C57" s="64">
        <v>150</v>
      </c>
      <c r="D57" s="109">
        <v>100</v>
      </c>
      <c r="E57" s="109">
        <v>100</v>
      </c>
      <c r="F57" s="144">
        <f>+E57-D57</f>
        <v>0</v>
      </c>
      <c r="G57" s="128"/>
      <c r="H57" s="129"/>
      <c r="I57" s="91"/>
      <c r="J57" s="130"/>
      <c r="K57" s="130"/>
      <c r="L57" s="130"/>
      <c r="M57" s="130"/>
      <c r="N57" s="130"/>
      <c r="O57" s="130"/>
      <c r="P57" s="130"/>
      <c r="Q57" s="68"/>
      <c r="R57" s="7">
        <f t="shared" si="0"/>
        <v>0</v>
      </c>
      <c r="S57" s="7">
        <f t="shared" si="1"/>
        <v>-100</v>
      </c>
    </row>
    <row r="58" spans="1:19" ht="15.75" thickBot="1">
      <c r="A58" s="4" t="s">
        <v>26</v>
      </c>
      <c r="B58" s="112">
        <v>10630</v>
      </c>
      <c r="C58" s="65">
        <v>5002</v>
      </c>
      <c r="D58" s="112">
        <v>10000</v>
      </c>
      <c r="E58" s="112">
        <v>8000</v>
      </c>
      <c r="F58" s="144">
        <f>+E58-B58</f>
        <v>-2630</v>
      </c>
      <c r="G58" s="141"/>
      <c r="H58" s="142"/>
      <c r="I58" s="111"/>
      <c r="J58" s="148"/>
      <c r="K58" s="148"/>
      <c r="L58" s="148"/>
      <c r="M58" s="148"/>
      <c r="N58" s="148"/>
      <c r="O58" s="148"/>
      <c r="P58" s="148"/>
      <c r="Q58" s="68">
        <v>10630</v>
      </c>
      <c r="R58" s="16">
        <f t="shared" si="0"/>
        <v>10630</v>
      </c>
      <c r="S58" s="7">
        <f t="shared" si="1"/>
        <v>2630</v>
      </c>
    </row>
    <row r="59" spans="1:19" ht="15.75" thickBot="1">
      <c r="A59" s="48" t="s">
        <v>6</v>
      </c>
      <c r="B59" s="110">
        <f>SUM(B53:B58)</f>
        <v>10630</v>
      </c>
      <c r="C59" s="43">
        <f aca="true" t="shared" si="8" ref="C59:Q59">SUM(C53:C58)</f>
        <v>6162.4</v>
      </c>
      <c r="D59" s="110">
        <f>SUM(D53:D58)</f>
        <v>17923</v>
      </c>
      <c r="E59" s="110">
        <f>SUM(E53:E58)</f>
        <v>8125</v>
      </c>
      <c r="F59" s="132">
        <f>SUM(F53:F58)</f>
        <v>-10428</v>
      </c>
      <c r="G59" s="133">
        <f t="shared" si="8"/>
        <v>0</v>
      </c>
      <c r="H59" s="134">
        <f t="shared" si="8"/>
        <v>0</v>
      </c>
      <c r="I59" s="135">
        <f t="shared" si="8"/>
        <v>0</v>
      </c>
      <c r="J59" s="136">
        <f>SUM(J53:J58)</f>
        <v>0</v>
      </c>
      <c r="K59" s="136">
        <f t="shared" si="8"/>
        <v>0</v>
      </c>
      <c r="L59" s="136">
        <f t="shared" si="8"/>
        <v>0</v>
      </c>
      <c r="M59" s="136">
        <f t="shared" si="8"/>
        <v>0</v>
      </c>
      <c r="N59" s="136">
        <f t="shared" si="8"/>
        <v>0</v>
      </c>
      <c r="O59" s="136">
        <f t="shared" si="8"/>
        <v>0</v>
      </c>
      <c r="P59" s="136">
        <f t="shared" si="8"/>
        <v>0</v>
      </c>
      <c r="Q59" s="110">
        <f t="shared" si="8"/>
        <v>10655</v>
      </c>
      <c r="R59" s="12">
        <f t="shared" si="0"/>
        <v>10655</v>
      </c>
      <c r="S59" s="7">
        <f t="shared" si="1"/>
        <v>2530</v>
      </c>
    </row>
    <row r="60" spans="1:19" ht="16.5" thickBot="1">
      <c r="A60" s="49" t="s">
        <v>27</v>
      </c>
      <c r="B60" s="113">
        <f>B13+B25+B46+B52+B59</f>
        <v>749365</v>
      </c>
      <c r="C60" s="98">
        <f aca="true" t="shared" si="9" ref="C60:Q60">C13+C25+C46+C52+C59</f>
        <v>385784.11000000004</v>
      </c>
      <c r="D60" s="113">
        <f t="shared" si="9"/>
        <v>823523</v>
      </c>
      <c r="E60" s="113">
        <f t="shared" si="9"/>
        <v>712500</v>
      </c>
      <c r="F60" s="151">
        <f t="shared" si="9"/>
        <v>-97205</v>
      </c>
      <c r="G60" s="152">
        <f t="shared" si="9"/>
        <v>190480</v>
      </c>
      <c r="H60" s="153">
        <f t="shared" si="9"/>
        <v>180081</v>
      </c>
      <c r="I60" s="154">
        <f t="shared" si="9"/>
        <v>0</v>
      </c>
      <c r="J60" s="155">
        <f t="shared" si="9"/>
        <v>0</v>
      </c>
      <c r="K60" s="155">
        <f t="shared" si="9"/>
        <v>0</v>
      </c>
      <c r="L60" s="155">
        <f t="shared" si="9"/>
        <v>0</v>
      </c>
      <c r="M60" s="155">
        <f t="shared" si="9"/>
        <v>0</v>
      </c>
      <c r="N60" s="155">
        <f t="shared" si="9"/>
        <v>0</v>
      </c>
      <c r="O60" s="155">
        <f t="shared" si="9"/>
        <v>0</v>
      </c>
      <c r="P60" s="155">
        <f t="shared" si="9"/>
        <v>0</v>
      </c>
      <c r="Q60" s="155">
        <f t="shared" si="9"/>
        <v>412352</v>
      </c>
      <c r="R60" s="17">
        <f t="shared" si="0"/>
        <v>782913</v>
      </c>
      <c r="S60" s="7">
        <f t="shared" si="1"/>
        <v>70413</v>
      </c>
    </row>
    <row r="61" spans="1:19" ht="17.25" thickBot="1" thickTop="1">
      <c r="A61" s="70"/>
      <c r="B61" s="99"/>
      <c r="C61" s="99"/>
      <c r="D61" s="99"/>
      <c r="E61" s="99"/>
      <c r="F61" s="99"/>
      <c r="G61" s="157"/>
      <c r="H61" s="129"/>
      <c r="I61" s="91"/>
      <c r="J61" s="68"/>
      <c r="K61" s="68"/>
      <c r="L61" s="68"/>
      <c r="M61" s="68"/>
      <c r="N61" s="68"/>
      <c r="O61" s="68"/>
      <c r="P61" s="68"/>
      <c r="Q61" s="68"/>
      <c r="R61" s="7">
        <f t="shared" si="0"/>
        <v>0</v>
      </c>
      <c r="S61" s="7">
        <f t="shared" si="1"/>
        <v>0</v>
      </c>
    </row>
    <row r="62" spans="1:19" ht="18">
      <c r="A62" s="75"/>
      <c r="B62" s="104" t="s">
        <v>61</v>
      </c>
      <c r="C62" s="158" t="s">
        <v>105</v>
      </c>
      <c r="D62" s="104" t="s">
        <v>201</v>
      </c>
      <c r="E62" s="104" t="s">
        <v>61</v>
      </c>
      <c r="F62" s="118" t="s">
        <v>113</v>
      </c>
      <c r="G62" s="83" t="s">
        <v>63</v>
      </c>
      <c r="H62" s="76" t="s">
        <v>64</v>
      </c>
      <c r="I62" s="38" t="s">
        <v>66</v>
      </c>
      <c r="J62" s="6" t="s">
        <v>65</v>
      </c>
      <c r="K62" s="6" t="s">
        <v>67</v>
      </c>
      <c r="L62" s="6" t="s">
        <v>68</v>
      </c>
      <c r="M62" s="6" t="s">
        <v>69</v>
      </c>
      <c r="N62" s="6" t="s">
        <v>70</v>
      </c>
      <c r="O62" s="6" t="s">
        <v>71</v>
      </c>
      <c r="P62" s="6" t="s">
        <v>72</v>
      </c>
      <c r="Q62" s="6" t="s">
        <v>114</v>
      </c>
      <c r="R62" s="7"/>
      <c r="S62" s="7"/>
    </row>
    <row r="63" spans="1:19" ht="18.75" thickBot="1">
      <c r="A63" s="50"/>
      <c r="B63" s="106" t="str">
        <f>+B4</f>
        <v>2019-2020</v>
      </c>
      <c r="C63" s="106" t="str">
        <f>+C4</f>
        <v>Jul-Dec</v>
      </c>
      <c r="D63" s="106" t="str">
        <f>+D4</f>
        <v>2020-2021</v>
      </c>
      <c r="E63" s="106" t="str">
        <f>+E4</f>
        <v>2020-2021</v>
      </c>
      <c r="F63" s="159" t="s">
        <v>112</v>
      </c>
      <c r="G63" s="97" t="s">
        <v>73</v>
      </c>
      <c r="H63" s="77" t="s">
        <v>74</v>
      </c>
      <c r="I63" s="39" t="s">
        <v>74</v>
      </c>
      <c r="J63" s="8" t="s">
        <v>74</v>
      </c>
      <c r="K63" s="8" t="s">
        <v>74</v>
      </c>
      <c r="L63" s="8" t="s">
        <v>75</v>
      </c>
      <c r="M63" s="8" t="s">
        <v>75</v>
      </c>
      <c r="N63" s="8" t="s">
        <v>75</v>
      </c>
      <c r="O63" s="8" t="s">
        <v>76</v>
      </c>
      <c r="P63" s="8" t="s">
        <v>74</v>
      </c>
      <c r="Q63" s="8" t="s">
        <v>75</v>
      </c>
      <c r="R63" s="9" t="s">
        <v>62</v>
      </c>
      <c r="S63" s="7"/>
    </row>
    <row r="64" spans="1:19" ht="18.75" thickBot="1">
      <c r="A64" s="71" t="s">
        <v>28</v>
      </c>
      <c r="B64" s="104"/>
      <c r="C64" s="121"/>
      <c r="D64" s="104"/>
      <c r="E64" s="104"/>
      <c r="F64" s="123"/>
      <c r="G64" s="85"/>
      <c r="H64" s="78"/>
      <c r="I64" s="53"/>
      <c r="J64" s="54"/>
      <c r="K64" s="54"/>
      <c r="L64" s="54"/>
      <c r="M64" s="54"/>
      <c r="N64" s="54"/>
      <c r="O64" s="54"/>
      <c r="P64" s="54"/>
      <c r="Q64" s="54"/>
      <c r="R64" s="55"/>
      <c r="S64" s="7"/>
    </row>
    <row r="65" spans="1:19" ht="15">
      <c r="A65" s="46" t="s">
        <v>29</v>
      </c>
      <c r="B65" s="91"/>
      <c r="C65" s="91"/>
      <c r="D65" s="91"/>
      <c r="E65" s="91"/>
      <c r="F65" s="125"/>
      <c r="G65" s="128"/>
      <c r="H65" s="129"/>
      <c r="I65" s="91"/>
      <c r="J65" s="91"/>
      <c r="K65" s="91"/>
      <c r="L65" s="91"/>
      <c r="M65" s="91"/>
      <c r="N65" s="91"/>
      <c r="O65" s="91"/>
      <c r="P65" s="91"/>
      <c r="Q65" s="91"/>
      <c r="R65" s="13">
        <f t="shared" si="0"/>
        <v>0</v>
      </c>
      <c r="S65" s="7">
        <f aca="true" t="shared" si="10" ref="S65:S130">+R65-E65</f>
        <v>0</v>
      </c>
    </row>
    <row r="66" spans="1:19" ht="15">
      <c r="A66" s="4" t="s">
        <v>150</v>
      </c>
      <c r="B66" s="109">
        <v>1000</v>
      </c>
      <c r="C66" s="64">
        <v>130.56</v>
      </c>
      <c r="D66" s="109">
        <v>1000</v>
      </c>
      <c r="E66" s="109">
        <v>1000</v>
      </c>
      <c r="F66" s="144">
        <f aca="true" t="shared" si="11" ref="F66:F129">+E66-B66</f>
        <v>0</v>
      </c>
      <c r="G66" s="128">
        <f>+E66*0.0814</f>
        <v>81.4</v>
      </c>
      <c r="H66" s="129">
        <f>+E66*0.1212</f>
        <v>121.2</v>
      </c>
      <c r="I66" s="91"/>
      <c r="J66" s="130"/>
      <c r="K66" s="130"/>
      <c r="L66" s="130"/>
      <c r="M66" s="130"/>
      <c r="N66" s="130"/>
      <c r="O66" s="130"/>
      <c r="P66" s="109"/>
      <c r="Q66" s="68">
        <v>794</v>
      </c>
      <c r="R66" s="13">
        <f t="shared" si="0"/>
        <v>996.6</v>
      </c>
      <c r="S66" s="7">
        <f t="shared" si="10"/>
        <v>-3.3999999999999773</v>
      </c>
    </row>
    <row r="67" spans="1:19" ht="15">
      <c r="A67" s="4" t="s">
        <v>151</v>
      </c>
      <c r="B67" s="109">
        <v>2700</v>
      </c>
      <c r="C67" s="64">
        <v>0</v>
      </c>
      <c r="D67" s="109">
        <v>2800</v>
      </c>
      <c r="E67" s="109">
        <v>2800</v>
      </c>
      <c r="F67" s="144">
        <f t="shared" si="11"/>
        <v>100</v>
      </c>
      <c r="G67" s="128">
        <f aca="true" t="shared" si="12" ref="G67:G81">+E67*0.0814</f>
        <v>227.92</v>
      </c>
      <c r="H67" s="129">
        <f aca="true" t="shared" si="13" ref="H67:H82">+E67*0.1212</f>
        <v>339.36</v>
      </c>
      <c r="I67" s="91"/>
      <c r="J67" s="130"/>
      <c r="K67" s="130"/>
      <c r="L67" s="130"/>
      <c r="M67" s="130"/>
      <c r="N67" s="130"/>
      <c r="O67" s="130"/>
      <c r="P67" s="109"/>
      <c r="Q67" s="68">
        <v>2143</v>
      </c>
      <c r="R67" s="13">
        <f t="shared" si="0"/>
        <v>2710.2799999999997</v>
      </c>
      <c r="S67" s="7">
        <f t="shared" si="10"/>
        <v>-89.72000000000025</v>
      </c>
    </row>
    <row r="68" spans="1:19" ht="15">
      <c r="A68" s="4" t="s">
        <v>152</v>
      </c>
      <c r="B68" s="109">
        <v>1000</v>
      </c>
      <c r="C68" s="64">
        <v>86.41</v>
      </c>
      <c r="D68" s="109">
        <v>500</v>
      </c>
      <c r="E68" s="109">
        <v>500</v>
      </c>
      <c r="F68" s="144">
        <f t="shared" si="11"/>
        <v>-500</v>
      </c>
      <c r="G68" s="128">
        <f t="shared" si="12"/>
        <v>40.7</v>
      </c>
      <c r="H68" s="129">
        <f t="shared" si="13"/>
        <v>60.6</v>
      </c>
      <c r="I68" s="91"/>
      <c r="J68" s="130"/>
      <c r="K68" s="130"/>
      <c r="L68" s="130"/>
      <c r="M68" s="130"/>
      <c r="N68" s="130"/>
      <c r="O68" s="130"/>
      <c r="P68" s="109"/>
      <c r="Q68" s="68">
        <v>794</v>
      </c>
      <c r="R68" s="13">
        <f t="shared" si="0"/>
        <v>895.3</v>
      </c>
      <c r="S68" s="7">
        <f t="shared" si="10"/>
        <v>395.29999999999995</v>
      </c>
    </row>
    <row r="69" spans="1:19" ht="15">
      <c r="A69" s="46" t="s">
        <v>30</v>
      </c>
      <c r="B69" s="91"/>
      <c r="C69" s="90"/>
      <c r="D69" s="91"/>
      <c r="E69" s="91"/>
      <c r="F69" s="160">
        <f t="shared" si="11"/>
        <v>0</v>
      </c>
      <c r="G69" s="128">
        <f t="shared" si="12"/>
        <v>0</v>
      </c>
      <c r="H69" s="129">
        <f t="shared" si="13"/>
        <v>0</v>
      </c>
      <c r="I69" s="91"/>
      <c r="J69" s="91"/>
      <c r="K69" s="91"/>
      <c r="L69" s="91"/>
      <c r="M69" s="91"/>
      <c r="N69" s="91"/>
      <c r="O69" s="91"/>
      <c r="P69" s="91"/>
      <c r="Q69" s="91"/>
      <c r="R69" s="13">
        <f t="shared" si="0"/>
        <v>0</v>
      </c>
      <c r="S69" s="7">
        <f t="shared" si="10"/>
        <v>0</v>
      </c>
    </row>
    <row r="70" spans="1:19" ht="15">
      <c r="A70" s="46" t="s">
        <v>31</v>
      </c>
      <c r="B70" s="91"/>
      <c r="C70" s="91"/>
      <c r="D70" s="91"/>
      <c r="E70" s="91"/>
      <c r="F70" s="125">
        <f t="shared" si="11"/>
        <v>0</v>
      </c>
      <c r="G70" s="128">
        <f t="shared" si="12"/>
        <v>0</v>
      </c>
      <c r="H70" s="129">
        <f t="shared" si="13"/>
        <v>0</v>
      </c>
      <c r="I70" s="91"/>
      <c r="J70" s="91"/>
      <c r="K70" s="91"/>
      <c r="L70" s="91"/>
      <c r="M70" s="91"/>
      <c r="N70" s="91"/>
      <c r="O70" s="91"/>
      <c r="P70" s="91"/>
      <c r="Q70" s="91"/>
      <c r="R70" s="13">
        <f t="shared" si="0"/>
        <v>0</v>
      </c>
      <c r="S70" s="7">
        <f t="shared" si="10"/>
        <v>0</v>
      </c>
    </row>
    <row r="71" spans="1:19" ht="15">
      <c r="A71" s="46" t="s">
        <v>32</v>
      </c>
      <c r="B71" s="91"/>
      <c r="C71" s="91"/>
      <c r="D71" s="91"/>
      <c r="E71" s="91"/>
      <c r="F71" s="125">
        <f t="shared" si="11"/>
        <v>0</v>
      </c>
      <c r="G71" s="128">
        <f t="shared" si="12"/>
        <v>0</v>
      </c>
      <c r="H71" s="129">
        <f t="shared" si="13"/>
        <v>0</v>
      </c>
      <c r="I71" s="91"/>
      <c r="J71" s="91"/>
      <c r="K71" s="91"/>
      <c r="L71" s="91"/>
      <c r="M71" s="91"/>
      <c r="N71" s="91"/>
      <c r="O71" s="91"/>
      <c r="P71" s="91"/>
      <c r="Q71" s="91"/>
      <c r="R71" s="13">
        <f t="shared" si="0"/>
        <v>0</v>
      </c>
      <c r="S71" s="7">
        <f t="shared" si="10"/>
        <v>0</v>
      </c>
    </row>
    <row r="72" spans="1:19" ht="15">
      <c r="A72" s="4" t="s">
        <v>172</v>
      </c>
      <c r="B72" s="109">
        <v>2500</v>
      </c>
      <c r="C72" s="64">
        <v>0</v>
      </c>
      <c r="D72" s="109">
        <v>0</v>
      </c>
      <c r="E72" s="109">
        <v>0</v>
      </c>
      <c r="F72" s="144">
        <f t="shared" si="11"/>
        <v>-2500</v>
      </c>
      <c r="G72" s="128">
        <f t="shared" si="12"/>
        <v>0</v>
      </c>
      <c r="H72" s="129">
        <f t="shared" si="13"/>
        <v>0</v>
      </c>
      <c r="I72" s="91"/>
      <c r="J72" s="109"/>
      <c r="K72" s="130"/>
      <c r="L72" s="109"/>
      <c r="M72" s="109"/>
      <c r="N72" s="109"/>
      <c r="O72" s="109"/>
      <c r="P72" s="68"/>
      <c r="Q72" s="68">
        <v>1985</v>
      </c>
      <c r="R72" s="13">
        <f t="shared" si="0"/>
        <v>1985</v>
      </c>
      <c r="S72" s="7">
        <f t="shared" si="10"/>
        <v>1985</v>
      </c>
    </row>
    <row r="73" spans="1:19" ht="15">
      <c r="A73" s="4" t="s">
        <v>117</v>
      </c>
      <c r="B73" s="109">
        <v>1100</v>
      </c>
      <c r="C73" s="64">
        <v>557.88</v>
      </c>
      <c r="D73" s="109">
        <v>1100</v>
      </c>
      <c r="E73" s="109">
        <v>1100</v>
      </c>
      <c r="F73" s="144">
        <f t="shared" si="11"/>
        <v>0</v>
      </c>
      <c r="G73" s="128">
        <f t="shared" si="12"/>
        <v>89.54</v>
      </c>
      <c r="H73" s="129">
        <f t="shared" si="13"/>
        <v>133.32</v>
      </c>
      <c r="I73" s="91"/>
      <c r="J73" s="109"/>
      <c r="K73" s="130"/>
      <c r="L73" s="109"/>
      <c r="M73" s="109"/>
      <c r="N73" s="109"/>
      <c r="O73" s="109"/>
      <c r="P73" s="68"/>
      <c r="Q73" s="68">
        <v>873</v>
      </c>
      <c r="R73" s="13">
        <f t="shared" si="0"/>
        <v>1095.8600000000001</v>
      </c>
      <c r="S73" s="7">
        <f t="shared" si="10"/>
        <v>-4.139999999999873</v>
      </c>
    </row>
    <row r="74" spans="1:19" ht="15">
      <c r="A74" s="4" t="s">
        <v>121</v>
      </c>
      <c r="B74" s="109">
        <v>1200</v>
      </c>
      <c r="C74" s="63">
        <v>429.89</v>
      </c>
      <c r="D74" s="109">
        <v>1000</v>
      </c>
      <c r="E74" s="109">
        <v>1000</v>
      </c>
      <c r="F74" s="144">
        <f t="shared" si="11"/>
        <v>-200</v>
      </c>
      <c r="G74" s="128">
        <f t="shared" si="12"/>
        <v>81.4</v>
      </c>
      <c r="H74" s="129">
        <f t="shared" si="13"/>
        <v>121.2</v>
      </c>
      <c r="I74" s="91"/>
      <c r="J74" s="109"/>
      <c r="K74" s="130"/>
      <c r="L74" s="109"/>
      <c r="M74" s="109"/>
      <c r="N74" s="109"/>
      <c r="O74" s="109"/>
      <c r="P74" s="68"/>
      <c r="Q74" s="68">
        <v>953</v>
      </c>
      <c r="R74" s="13">
        <f t="shared" si="0"/>
        <v>1155.6</v>
      </c>
      <c r="S74" s="7">
        <f t="shared" si="10"/>
        <v>155.5999999999999</v>
      </c>
    </row>
    <row r="75" spans="1:19" ht="15">
      <c r="A75" s="4" t="s">
        <v>33</v>
      </c>
      <c r="B75" s="109">
        <v>1000</v>
      </c>
      <c r="C75" s="63">
        <v>145</v>
      </c>
      <c r="D75" s="109">
        <v>500</v>
      </c>
      <c r="E75" s="109">
        <v>500</v>
      </c>
      <c r="F75" s="144">
        <f t="shared" si="11"/>
        <v>-500</v>
      </c>
      <c r="G75" s="128">
        <f t="shared" si="12"/>
        <v>40.7</v>
      </c>
      <c r="H75" s="129">
        <f t="shared" si="13"/>
        <v>60.6</v>
      </c>
      <c r="I75" s="91"/>
      <c r="J75" s="130"/>
      <c r="K75" s="130"/>
      <c r="L75" s="130"/>
      <c r="M75" s="130"/>
      <c r="N75" s="130"/>
      <c r="O75" s="130"/>
      <c r="P75" s="130"/>
      <c r="Q75" s="68">
        <v>794</v>
      </c>
      <c r="R75" s="13">
        <f t="shared" si="0"/>
        <v>895.3</v>
      </c>
      <c r="S75" s="7">
        <f t="shared" si="10"/>
        <v>395.29999999999995</v>
      </c>
    </row>
    <row r="76" spans="1:19" ht="15">
      <c r="A76" s="4" t="s">
        <v>34</v>
      </c>
      <c r="B76" s="109">
        <v>2500</v>
      </c>
      <c r="C76" s="68">
        <v>1216.44</v>
      </c>
      <c r="D76" s="109">
        <v>2500</v>
      </c>
      <c r="E76" s="109">
        <v>2500</v>
      </c>
      <c r="F76" s="144">
        <f t="shared" si="11"/>
        <v>0</v>
      </c>
      <c r="G76" s="128">
        <f t="shared" si="12"/>
        <v>203.5</v>
      </c>
      <c r="H76" s="129">
        <f t="shared" si="13"/>
        <v>303</v>
      </c>
      <c r="I76" s="91"/>
      <c r="J76" s="109"/>
      <c r="K76" s="130"/>
      <c r="L76" s="109"/>
      <c r="M76" s="109"/>
      <c r="N76" s="109"/>
      <c r="O76" s="109"/>
      <c r="P76" s="68"/>
      <c r="Q76" s="68">
        <v>1985</v>
      </c>
      <c r="R76" s="13">
        <f t="shared" si="0"/>
        <v>2491.5</v>
      </c>
      <c r="S76" s="7">
        <f t="shared" si="10"/>
        <v>-8.5</v>
      </c>
    </row>
    <row r="77" spans="1:19" ht="15">
      <c r="A77" s="46" t="s">
        <v>35</v>
      </c>
      <c r="B77" s="91"/>
      <c r="C77" s="90"/>
      <c r="D77" s="91"/>
      <c r="E77" s="91"/>
      <c r="F77" s="125">
        <f t="shared" si="11"/>
        <v>0</v>
      </c>
      <c r="G77" s="128">
        <f t="shared" si="12"/>
        <v>0</v>
      </c>
      <c r="H77" s="129">
        <f t="shared" si="13"/>
        <v>0</v>
      </c>
      <c r="I77" s="91"/>
      <c r="J77" s="91"/>
      <c r="K77" s="91"/>
      <c r="L77" s="91"/>
      <c r="M77" s="91"/>
      <c r="N77" s="91"/>
      <c r="O77" s="91"/>
      <c r="P77" s="91"/>
      <c r="Q77" s="91"/>
      <c r="R77" s="13">
        <f t="shared" si="0"/>
        <v>0</v>
      </c>
      <c r="S77" s="7">
        <f t="shared" si="10"/>
        <v>0</v>
      </c>
    </row>
    <row r="78" spans="1:19" ht="15">
      <c r="A78" s="4" t="s">
        <v>36</v>
      </c>
      <c r="B78" s="109">
        <v>38400</v>
      </c>
      <c r="C78" s="63">
        <v>19200</v>
      </c>
      <c r="D78" s="109">
        <v>38400</v>
      </c>
      <c r="E78" s="109">
        <v>38400</v>
      </c>
      <c r="F78" s="144">
        <f t="shared" si="11"/>
        <v>0</v>
      </c>
      <c r="G78" s="128">
        <f t="shared" si="12"/>
        <v>3125.76</v>
      </c>
      <c r="H78" s="129">
        <f t="shared" si="13"/>
        <v>4654.08</v>
      </c>
      <c r="I78" s="91"/>
      <c r="J78" s="68"/>
      <c r="K78" s="130"/>
      <c r="L78" s="109"/>
      <c r="M78" s="109"/>
      <c r="N78" s="109"/>
      <c r="O78" s="109"/>
      <c r="P78" s="130"/>
      <c r="Q78" s="68">
        <v>30482</v>
      </c>
      <c r="R78" s="13">
        <f aca="true" t="shared" si="14" ref="R78:R131">SUM(G78:Q78)</f>
        <v>38261.84</v>
      </c>
      <c r="S78" s="7">
        <f t="shared" si="10"/>
        <v>-138.1600000000035</v>
      </c>
    </row>
    <row r="79" spans="1:19" ht="15">
      <c r="A79" s="4" t="s">
        <v>37</v>
      </c>
      <c r="B79" s="109">
        <v>1600</v>
      </c>
      <c r="C79" s="68">
        <v>600</v>
      </c>
      <c r="D79" s="109">
        <v>1300</v>
      </c>
      <c r="E79" s="109">
        <v>1300</v>
      </c>
      <c r="F79" s="144">
        <f t="shared" si="11"/>
        <v>-300</v>
      </c>
      <c r="G79" s="128">
        <f t="shared" si="12"/>
        <v>105.82</v>
      </c>
      <c r="H79" s="129">
        <f t="shared" si="13"/>
        <v>157.56</v>
      </c>
      <c r="I79" s="91"/>
      <c r="J79" s="68"/>
      <c r="K79" s="130"/>
      <c r="L79" s="109"/>
      <c r="M79" s="109"/>
      <c r="N79" s="109"/>
      <c r="O79" s="109"/>
      <c r="P79" s="130"/>
      <c r="Q79" s="68">
        <v>1270</v>
      </c>
      <c r="R79" s="13">
        <f t="shared" si="14"/>
        <v>1533.38</v>
      </c>
      <c r="S79" s="7">
        <f t="shared" si="10"/>
        <v>233.3800000000001</v>
      </c>
    </row>
    <row r="80" spans="1:19" ht="15">
      <c r="A80" s="46" t="s">
        <v>38</v>
      </c>
      <c r="B80" s="91"/>
      <c r="C80" s="90"/>
      <c r="D80" s="91"/>
      <c r="E80" s="91"/>
      <c r="F80" s="125">
        <f t="shared" si="11"/>
        <v>0</v>
      </c>
      <c r="G80" s="128">
        <f t="shared" si="12"/>
        <v>0</v>
      </c>
      <c r="H80" s="129">
        <f t="shared" si="13"/>
        <v>0</v>
      </c>
      <c r="I80" s="91"/>
      <c r="J80" s="91"/>
      <c r="K80" s="91"/>
      <c r="L80" s="91"/>
      <c r="M80" s="91"/>
      <c r="N80" s="91"/>
      <c r="O80" s="91"/>
      <c r="P80" s="91"/>
      <c r="Q80" s="91"/>
      <c r="R80" s="13">
        <f t="shared" si="14"/>
        <v>0</v>
      </c>
      <c r="S80" s="7">
        <f t="shared" si="10"/>
        <v>0</v>
      </c>
    </row>
    <row r="81" spans="1:19" ht="15">
      <c r="A81" s="4" t="s">
        <v>127</v>
      </c>
      <c r="B81" s="109">
        <v>11000</v>
      </c>
      <c r="C81" s="68">
        <v>7828.6</v>
      </c>
      <c r="D81" s="109">
        <v>14400</v>
      </c>
      <c r="E81" s="109">
        <v>14400</v>
      </c>
      <c r="F81" s="144">
        <f t="shared" si="11"/>
        <v>3400</v>
      </c>
      <c r="G81" s="128">
        <f t="shared" si="12"/>
        <v>1172.16</v>
      </c>
      <c r="H81" s="129">
        <f t="shared" si="13"/>
        <v>1745.28</v>
      </c>
      <c r="I81" s="91"/>
      <c r="J81" s="109"/>
      <c r="K81" s="130"/>
      <c r="L81" s="130"/>
      <c r="M81" s="130"/>
      <c r="N81" s="130"/>
      <c r="O81" s="130"/>
      <c r="P81" s="130"/>
      <c r="Q81" s="68">
        <v>8732</v>
      </c>
      <c r="R81" s="13">
        <f t="shared" si="14"/>
        <v>11649.44</v>
      </c>
      <c r="S81" s="7">
        <f t="shared" si="10"/>
        <v>-2750.5599999999995</v>
      </c>
    </row>
    <row r="82" spans="1:19" ht="15">
      <c r="A82" s="46" t="s">
        <v>39</v>
      </c>
      <c r="B82" s="91"/>
      <c r="C82" s="90"/>
      <c r="D82" s="91"/>
      <c r="E82" s="91"/>
      <c r="F82" s="125">
        <f t="shared" si="11"/>
        <v>0</v>
      </c>
      <c r="G82" s="128">
        <f>+E82*0.0861</f>
        <v>0</v>
      </c>
      <c r="H82" s="129">
        <f t="shared" si="13"/>
        <v>0</v>
      </c>
      <c r="I82" s="91"/>
      <c r="J82" s="91"/>
      <c r="K82" s="91"/>
      <c r="L82" s="91"/>
      <c r="M82" s="91"/>
      <c r="N82" s="91"/>
      <c r="O82" s="91"/>
      <c r="P82" s="91"/>
      <c r="Q82" s="91"/>
      <c r="R82" s="13">
        <f t="shared" si="14"/>
        <v>0</v>
      </c>
      <c r="S82" s="7">
        <f t="shared" si="10"/>
        <v>0</v>
      </c>
    </row>
    <row r="83" spans="1:19" ht="15">
      <c r="A83" s="51" t="s">
        <v>128</v>
      </c>
      <c r="B83" s="68">
        <v>418145</v>
      </c>
      <c r="C83" s="64">
        <v>164459.896</v>
      </c>
      <c r="D83" s="68">
        <v>495958.83999999997</v>
      </c>
      <c r="E83" s="68">
        <v>420461</v>
      </c>
      <c r="F83" s="144">
        <f t="shared" si="11"/>
        <v>2316</v>
      </c>
      <c r="G83" s="128">
        <f>+ADC!E20</f>
        <v>139596.6</v>
      </c>
      <c r="H83" s="129">
        <f>+Nutrition!E17</f>
        <v>94462.16</v>
      </c>
      <c r="I83" s="91"/>
      <c r="J83" s="161"/>
      <c r="K83" s="130"/>
      <c r="L83" s="68"/>
      <c r="M83" s="68"/>
      <c r="N83" s="68"/>
      <c r="O83" s="68"/>
      <c r="P83" s="68"/>
      <c r="Q83" s="68">
        <v>206669</v>
      </c>
      <c r="R83" s="13">
        <f t="shared" si="14"/>
        <v>440727.76</v>
      </c>
      <c r="S83" s="7">
        <f t="shared" si="10"/>
        <v>20266.76000000001</v>
      </c>
    </row>
    <row r="84" spans="1:19" ht="15">
      <c r="A84" s="51" t="s">
        <v>129</v>
      </c>
      <c r="B84" s="68">
        <v>31106</v>
      </c>
      <c r="C84" s="64">
        <v>14022.9</v>
      </c>
      <c r="D84" s="68">
        <v>36103.01526</v>
      </c>
      <c r="E84" s="68">
        <v>32165</v>
      </c>
      <c r="F84" s="144">
        <f t="shared" si="11"/>
        <v>1059</v>
      </c>
      <c r="G84" s="128">
        <f>+ADC!F20</f>
        <v>8841.303899999999</v>
      </c>
      <c r="H84" s="129">
        <f>+Nutrition!F17</f>
        <v>7226.35524</v>
      </c>
      <c r="I84" s="91"/>
      <c r="J84" s="161"/>
      <c r="K84" s="130"/>
      <c r="L84" s="68"/>
      <c r="M84" s="68"/>
      <c r="N84" s="68"/>
      <c r="O84" s="68"/>
      <c r="P84" s="68"/>
      <c r="Q84" s="68">
        <v>15810</v>
      </c>
      <c r="R84" s="13">
        <f t="shared" si="14"/>
        <v>31877.65914</v>
      </c>
      <c r="S84" s="7">
        <f t="shared" si="10"/>
        <v>-287.34086000000025</v>
      </c>
    </row>
    <row r="85" spans="1:19" ht="15">
      <c r="A85" s="51" t="s">
        <v>130</v>
      </c>
      <c r="B85" s="68">
        <v>2869</v>
      </c>
      <c r="C85" s="64">
        <v>147</v>
      </c>
      <c r="D85" s="68">
        <v>2679.8778</v>
      </c>
      <c r="E85" s="68">
        <v>2762</v>
      </c>
      <c r="F85" s="144">
        <f t="shared" si="11"/>
        <v>-107</v>
      </c>
      <c r="G85" s="128">
        <f>+ADC!G20</f>
        <v>720.016</v>
      </c>
      <c r="H85" s="129">
        <f>+Nutrition!G17</f>
        <v>540</v>
      </c>
      <c r="I85" s="91"/>
      <c r="J85" s="161"/>
      <c r="K85" s="130"/>
      <c r="L85" s="68"/>
      <c r="M85" s="68"/>
      <c r="N85" s="68"/>
      <c r="O85" s="68"/>
      <c r="P85" s="68"/>
      <c r="Q85" s="68">
        <v>1477</v>
      </c>
      <c r="R85" s="13">
        <f t="shared" si="14"/>
        <v>2737.016</v>
      </c>
      <c r="S85" s="7">
        <f t="shared" si="10"/>
        <v>-24.983999999999924</v>
      </c>
    </row>
    <row r="86" spans="1:19" ht="15">
      <c r="A86" s="51" t="s">
        <v>131</v>
      </c>
      <c r="B86" s="68">
        <v>5710</v>
      </c>
      <c r="C86" s="64">
        <v>3939</v>
      </c>
      <c r="D86" s="68">
        <v>5986.601446799999</v>
      </c>
      <c r="E86" s="68">
        <v>6095</v>
      </c>
      <c r="F86" s="144">
        <f t="shared" si="11"/>
        <v>385</v>
      </c>
      <c r="G86" s="128">
        <f>+ADC!H20</f>
        <v>1907.0843999999997</v>
      </c>
      <c r="H86" s="129">
        <f>+Nutrition!H17</f>
        <v>1613.3748799999998</v>
      </c>
      <c r="I86" s="91"/>
      <c r="J86" s="161"/>
      <c r="K86" s="130"/>
      <c r="L86" s="68"/>
      <c r="M86" s="68"/>
      <c r="N86" s="68"/>
      <c r="O86" s="68"/>
      <c r="P86" s="68"/>
      <c r="Q86" s="68">
        <v>1055</v>
      </c>
      <c r="R86" s="13">
        <f t="shared" si="14"/>
        <v>4575.459279999999</v>
      </c>
      <c r="S86" s="7">
        <f t="shared" si="10"/>
        <v>-1519.5407200000009</v>
      </c>
    </row>
    <row r="87" spans="1:19" ht="15">
      <c r="A87" s="46" t="s">
        <v>40</v>
      </c>
      <c r="B87" s="91">
        <v>-15000</v>
      </c>
      <c r="C87" s="90"/>
      <c r="D87" s="91"/>
      <c r="E87" s="91"/>
      <c r="F87" s="125">
        <f t="shared" si="11"/>
        <v>15000</v>
      </c>
      <c r="G87" s="128"/>
      <c r="H87" s="129"/>
      <c r="I87" s="91"/>
      <c r="J87" s="91"/>
      <c r="K87" s="91"/>
      <c r="L87" s="91"/>
      <c r="M87" s="91"/>
      <c r="N87" s="91"/>
      <c r="O87" s="91"/>
      <c r="P87" s="91"/>
      <c r="Q87" s="91"/>
      <c r="R87" s="13">
        <f t="shared" si="14"/>
        <v>0</v>
      </c>
      <c r="S87" s="7">
        <f t="shared" si="10"/>
        <v>0</v>
      </c>
    </row>
    <row r="88" spans="1:19" ht="15">
      <c r="A88" s="4" t="s">
        <v>132</v>
      </c>
      <c r="B88" s="68">
        <v>3527</v>
      </c>
      <c r="C88" s="63">
        <v>984.78</v>
      </c>
      <c r="D88" s="68">
        <v>3135.04</v>
      </c>
      <c r="E88" s="68">
        <f>+'$1 increase'!I47</f>
        <v>3433.32</v>
      </c>
      <c r="F88" s="144">
        <f t="shared" si="11"/>
        <v>-93.67999999999984</v>
      </c>
      <c r="G88" s="128">
        <f>+ADC!I20</f>
        <v>762.96</v>
      </c>
      <c r="H88" s="129">
        <f>+Nutrition!I17</f>
        <v>381.48</v>
      </c>
      <c r="I88" s="91"/>
      <c r="J88" s="68"/>
      <c r="K88" s="130"/>
      <c r="L88" s="68"/>
      <c r="M88" s="68"/>
      <c r="N88" s="68"/>
      <c r="O88" s="68"/>
      <c r="P88" s="68"/>
      <c r="Q88" s="68">
        <v>1959</v>
      </c>
      <c r="R88" s="13">
        <f t="shared" si="14"/>
        <v>3103.44</v>
      </c>
      <c r="S88" s="7">
        <f t="shared" si="10"/>
        <v>-329.8800000000001</v>
      </c>
    </row>
    <row r="89" spans="1:19" ht="15">
      <c r="A89" s="4" t="s">
        <v>133</v>
      </c>
      <c r="B89" s="68">
        <v>7801</v>
      </c>
      <c r="C89" s="63">
        <v>2863.78</v>
      </c>
      <c r="D89" s="68">
        <v>9220.036799999998</v>
      </c>
      <c r="E89" s="68">
        <v>8286</v>
      </c>
      <c r="F89" s="144">
        <f t="shared" si="11"/>
        <v>485</v>
      </c>
      <c r="G89" s="128">
        <f>+ADC!J20</f>
        <v>2478.138</v>
      </c>
      <c r="H89" s="129">
        <f>+Nutrition!K17</f>
        <v>1510.9848000000002</v>
      </c>
      <c r="I89" s="91"/>
      <c r="J89" s="68"/>
      <c r="K89" s="130"/>
      <c r="L89" s="68"/>
      <c r="M89" s="68"/>
      <c r="N89" s="68"/>
      <c r="O89" s="68"/>
      <c r="P89" s="68"/>
      <c r="Q89" s="68">
        <v>3992</v>
      </c>
      <c r="R89" s="13">
        <f t="shared" si="14"/>
        <v>7981.1228</v>
      </c>
      <c r="S89" s="7">
        <f t="shared" si="10"/>
        <v>-304.8771999999999</v>
      </c>
    </row>
    <row r="90" spans="1:19" ht="15">
      <c r="A90" s="4" t="s">
        <v>134</v>
      </c>
      <c r="B90" s="68">
        <v>7801</v>
      </c>
      <c r="C90" s="63">
        <v>2872.78</v>
      </c>
      <c r="D90" s="68">
        <v>9220.036799999998</v>
      </c>
      <c r="E90" s="68">
        <v>8286</v>
      </c>
      <c r="F90" s="144">
        <f t="shared" si="11"/>
        <v>485</v>
      </c>
      <c r="G90" s="128">
        <f>+ADC!K20</f>
        <v>2478.138</v>
      </c>
      <c r="H90" s="129">
        <f>+Nutrition!J17</f>
        <v>1510.9848000000002</v>
      </c>
      <c r="I90" s="91"/>
      <c r="J90" s="68"/>
      <c r="K90" s="130"/>
      <c r="L90" s="68"/>
      <c r="M90" s="68"/>
      <c r="N90" s="68"/>
      <c r="O90" s="68"/>
      <c r="P90" s="68"/>
      <c r="Q90" s="68">
        <v>4524</v>
      </c>
      <c r="R90" s="13">
        <f t="shared" si="14"/>
        <v>8513.122800000001</v>
      </c>
      <c r="S90" s="7">
        <f t="shared" si="10"/>
        <v>227.122800000001</v>
      </c>
    </row>
    <row r="91" spans="1:19" ht="15">
      <c r="A91" s="4" t="s">
        <v>135</v>
      </c>
      <c r="B91" s="68">
        <v>1150</v>
      </c>
      <c r="C91" s="68">
        <v>1100</v>
      </c>
      <c r="D91" s="68">
        <v>1150</v>
      </c>
      <c r="E91" s="68">
        <v>1150</v>
      </c>
      <c r="F91" s="144">
        <f t="shared" si="11"/>
        <v>0</v>
      </c>
      <c r="G91" s="128">
        <v>400</v>
      </c>
      <c r="H91" s="129">
        <v>250</v>
      </c>
      <c r="I91" s="91"/>
      <c r="J91" s="68"/>
      <c r="K91" s="130"/>
      <c r="L91" s="68"/>
      <c r="M91" s="68"/>
      <c r="N91" s="68"/>
      <c r="O91" s="68"/>
      <c r="P91" s="68"/>
      <c r="Q91" s="68">
        <v>500</v>
      </c>
      <c r="R91" s="13">
        <f t="shared" si="14"/>
        <v>1150</v>
      </c>
      <c r="S91" s="7">
        <f t="shared" si="10"/>
        <v>0</v>
      </c>
    </row>
    <row r="92" spans="1:19" ht="15">
      <c r="A92" s="46" t="s">
        <v>41</v>
      </c>
      <c r="B92" s="91"/>
      <c r="C92" s="90"/>
      <c r="D92" s="91"/>
      <c r="E92" s="91"/>
      <c r="F92" s="125">
        <f t="shared" si="11"/>
        <v>0</v>
      </c>
      <c r="G92" s="128"/>
      <c r="H92" s="129"/>
      <c r="I92" s="91"/>
      <c r="J92" s="91"/>
      <c r="K92" s="91"/>
      <c r="L92" s="91"/>
      <c r="M92" s="91"/>
      <c r="N92" s="91"/>
      <c r="O92" s="91"/>
      <c r="P92" s="91"/>
      <c r="Q92" s="91"/>
      <c r="R92" s="13">
        <f t="shared" si="14"/>
        <v>0</v>
      </c>
      <c r="S92" s="7">
        <f t="shared" si="10"/>
        <v>0</v>
      </c>
    </row>
    <row r="93" spans="1:19" ht="15">
      <c r="A93" s="46" t="s">
        <v>42</v>
      </c>
      <c r="B93" s="91">
        <v>2000</v>
      </c>
      <c r="C93" s="91">
        <v>7709.88</v>
      </c>
      <c r="D93" s="91">
        <v>2000</v>
      </c>
      <c r="E93" s="91">
        <v>2000</v>
      </c>
      <c r="F93" s="125">
        <f t="shared" si="11"/>
        <v>0</v>
      </c>
      <c r="G93" s="128">
        <f aca="true" t="shared" si="15" ref="G93:G130">+E93*0.0814</f>
        <v>162.8</v>
      </c>
      <c r="H93" s="129">
        <f aca="true" t="shared" si="16" ref="H93:H130">+E93*0.1212</f>
        <v>242.4</v>
      </c>
      <c r="I93" s="91"/>
      <c r="J93" s="91"/>
      <c r="K93" s="91"/>
      <c r="L93" s="91"/>
      <c r="M93" s="91"/>
      <c r="N93" s="91"/>
      <c r="O93" s="91"/>
      <c r="P93" s="91"/>
      <c r="Q93" s="91">
        <v>8732</v>
      </c>
      <c r="R93" s="13">
        <f t="shared" si="14"/>
        <v>9137.2</v>
      </c>
      <c r="S93" s="7">
        <f t="shared" si="10"/>
        <v>7137.200000000001</v>
      </c>
    </row>
    <row r="94" spans="1:19" ht="15">
      <c r="A94" s="46" t="s">
        <v>43</v>
      </c>
      <c r="B94" s="91"/>
      <c r="C94" s="90"/>
      <c r="D94" s="91"/>
      <c r="E94" s="91"/>
      <c r="F94" s="125">
        <f t="shared" si="11"/>
        <v>0</v>
      </c>
      <c r="G94" s="128">
        <f t="shared" si="15"/>
        <v>0</v>
      </c>
      <c r="H94" s="129">
        <f t="shared" si="16"/>
        <v>0</v>
      </c>
      <c r="I94" s="91"/>
      <c r="J94" s="91"/>
      <c r="K94" s="91"/>
      <c r="L94" s="91"/>
      <c r="M94" s="91"/>
      <c r="N94" s="91"/>
      <c r="O94" s="91"/>
      <c r="P94" s="91"/>
      <c r="Q94" s="91"/>
      <c r="R94" s="13">
        <f t="shared" si="14"/>
        <v>0</v>
      </c>
      <c r="S94" s="7">
        <f t="shared" si="10"/>
        <v>0</v>
      </c>
    </row>
    <row r="95" spans="1:19" ht="15">
      <c r="A95" s="4" t="s">
        <v>136</v>
      </c>
      <c r="B95" s="68">
        <v>48000</v>
      </c>
      <c r="C95" s="64">
        <v>19177.1</v>
      </c>
      <c r="D95" s="68">
        <v>40000</v>
      </c>
      <c r="E95" s="68">
        <v>30100</v>
      </c>
      <c r="F95" s="144">
        <f t="shared" si="11"/>
        <v>-17900</v>
      </c>
      <c r="G95" s="128"/>
      <c r="H95" s="129">
        <v>43600</v>
      </c>
      <c r="I95" s="91"/>
      <c r="J95" s="68"/>
      <c r="K95" s="130"/>
      <c r="L95" s="130"/>
      <c r="M95" s="130"/>
      <c r="N95" s="130"/>
      <c r="O95" s="130"/>
      <c r="P95" s="130"/>
      <c r="Q95" s="68"/>
      <c r="R95" s="13">
        <f t="shared" si="14"/>
        <v>43600</v>
      </c>
      <c r="S95" s="7">
        <f t="shared" si="10"/>
        <v>13500</v>
      </c>
    </row>
    <row r="96" spans="1:19" ht="15">
      <c r="A96" s="4" t="s">
        <v>138</v>
      </c>
      <c r="B96" s="109">
        <v>100</v>
      </c>
      <c r="C96" s="64">
        <v>30</v>
      </c>
      <c r="D96" s="109">
        <v>100</v>
      </c>
      <c r="E96" s="109">
        <v>100</v>
      </c>
      <c r="F96" s="144">
        <f t="shared" si="11"/>
        <v>0</v>
      </c>
      <c r="G96" s="128"/>
      <c r="H96" s="129">
        <v>100</v>
      </c>
      <c r="I96" s="91"/>
      <c r="J96" s="130"/>
      <c r="K96" s="130"/>
      <c r="L96" s="130"/>
      <c r="M96" s="130"/>
      <c r="N96" s="130"/>
      <c r="O96" s="130"/>
      <c r="P96" s="130"/>
      <c r="Q96" s="68">
        <v>79</v>
      </c>
      <c r="R96" s="13">
        <f t="shared" si="14"/>
        <v>179</v>
      </c>
      <c r="S96" s="7">
        <f t="shared" si="10"/>
        <v>79</v>
      </c>
    </row>
    <row r="97" spans="1:19" ht="15">
      <c r="A97" s="4" t="s">
        <v>137</v>
      </c>
      <c r="B97" s="109">
        <v>8500</v>
      </c>
      <c r="C97" s="68">
        <v>3181.27</v>
      </c>
      <c r="D97" s="109">
        <v>6000</v>
      </c>
      <c r="E97" s="109">
        <v>4500</v>
      </c>
      <c r="F97" s="144">
        <f t="shared" si="11"/>
        <v>-4000</v>
      </c>
      <c r="G97" s="128"/>
      <c r="H97" s="129">
        <v>6500</v>
      </c>
      <c r="I97" s="91"/>
      <c r="J97" s="68"/>
      <c r="K97" s="130"/>
      <c r="L97" s="130"/>
      <c r="M97" s="130"/>
      <c r="N97" s="130"/>
      <c r="O97" s="130"/>
      <c r="P97" s="130"/>
      <c r="Q97" s="68"/>
      <c r="R97" s="13">
        <f t="shared" si="14"/>
        <v>6500</v>
      </c>
      <c r="S97" s="7">
        <f t="shared" si="10"/>
        <v>2000</v>
      </c>
    </row>
    <row r="98" spans="1:19" ht="15">
      <c r="A98" s="46" t="s">
        <v>44</v>
      </c>
      <c r="B98" s="91"/>
      <c r="C98" s="90"/>
      <c r="D98" s="91"/>
      <c r="E98" s="91"/>
      <c r="F98" s="125">
        <f t="shared" si="11"/>
        <v>0</v>
      </c>
      <c r="G98" s="128">
        <f t="shared" si="15"/>
        <v>0</v>
      </c>
      <c r="H98" s="129">
        <f t="shared" si="16"/>
        <v>0</v>
      </c>
      <c r="I98" s="91"/>
      <c r="J98" s="91"/>
      <c r="K98" s="91"/>
      <c r="L98" s="91"/>
      <c r="M98" s="91"/>
      <c r="N98" s="91"/>
      <c r="O98" s="91"/>
      <c r="P98" s="91"/>
      <c r="Q98" s="91"/>
      <c r="R98" s="13">
        <f t="shared" si="14"/>
        <v>0</v>
      </c>
      <c r="S98" s="7">
        <f t="shared" si="10"/>
        <v>0</v>
      </c>
    </row>
    <row r="99" spans="1:19" ht="15">
      <c r="A99" s="4" t="s">
        <v>160</v>
      </c>
      <c r="B99" s="109">
        <v>2800</v>
      </c>
      <c r="C99" s="63">
        <v>0</v>
      </c>
      <c r="D99" s="109">
        <v>2820</v>
      </c>
      <c r="E99" s="109">
        <v>2820</v>
      </c>
      <c r="F99" s="144">
        <f t="shared" si="11"/>
        <v>20</v>
      </c>
      <c r="G99" s="128">
        <f t="shared" si="15"/>
        <v>229.548</v>
      </c>
      <c r="H99" s="129">
        <f t="shared" si="16"/>
        <v>341.784</v>
      </c>
      <c r="I99" s="91"/>
      <c r="J99" s="130"/>
      <c r="K99" s="130"/>
      <c r="L99" s="130"/>
      <c r="M99" s="130"/>
      <c r="N99" s="130"/>
      <c r="O99" s="130"/>
      <c r="P99" s="130"/>
      <c r="Q99" s="68">
        <v>2223</v>
      </c>
      <c r="R99" s="13">
        <f t="shared" si="14"/>
        <v>2794.332</v>
      </c>
      <c r="S99" s="7">
        <f t="shared" si="10"/>
        <v>-25.66800000000012</v>
      </c>
    </row>
    <row r="100" spans="1:19" ht="15">
      <c r="A100" s="4" t="s">
        <v>161</v>
      </c>
      <c r="B100" s="109">
        <v>2310</v>
      </c>
      <c r="C100" s="64">
        <v>0</v>
      </c>
      <c r="D100" s="109">
        <v>2338</v>
      </c>
      <c r="E100" s="109">
        <v>2338</v>
      </c>
      <c r="F100" s="144">
        <f t="shared" si="11"/>
        <v>28</v>
      </c>
      <c r="G100" s="128">
        <f t="shared" si="15"/>
        <v>190.3132</v>
      </c>
      <c r="H100" s="129">
        <f t="shared" si="16"/>
        <v>283.36560000000003</v>
      </c>
      <c r="I100" s="91"/>
      <c r="J100" s="130"/>
      <c r="K100" s="130"/>
      <c r="L100" s="130"/>
      <c r="M100" s="130"/>
      <c r="N100" s="130"/>
      <c r="O100" s="130"/>
      <c r="P100" s="130"/>
      <c r="Q100" s="68">
        <v>1834</v>
      </c>
      <c r="R100" s="13">
        <f t="shared" si="14"/>
        <v>2307.6788</v>
      </c>
      <c r="S100" s="7">
        <f t="shared" si="10"/>
        <v>-30.321199999999862</v>
      </c>
    </row>
    <row r="101" spans="1:19" ht="15">
      <c r="A101" s="4" t="s">
        <v>162</v>
      </c>
      <c r="B101" s="109">
        <v>816</v>
      </c>
      <c r="C101" s="68">
        <v>0</v>
      </c>
      <c r="D101" s="109">
        <v>842</v>
      </c>
      <c r="E101" s="109">
        <v>842</v>
      </c>
      <c r="F101" s="144">
        <f t="shared" si="11"/>
        <v>26</v>
      </c>
      <c r="G101" s="128">
        <f t="shared" si="15"/>
        <v>68.5388</v>
      </c>
      <c r="H101" s="129">
        <f t="shared" si="16"/>
        <v>102.0504</v>
      </c>
      <c r="I101" s="91"/>
      <c r="J101" s="130"/>
      <c r="K101" s="130"/>
      <c r="L101" s="130"/>
      <c r="M101" s="130"/>
      <c r="N101" s="130"/>
      <c r="O101" s="130"/>
      <c r="P101" s="130"/>
      <c r="Q101" s="68">
        <v>648</v>
      </c>
      <c r="R101" s="13">
        <f t="shared" si="14"/>
        <v>818.5892</v>
      </c>
      <c r="S101" s="7">
        <f t="shared" si="10"/>
        <v>-23.410799999999995</v>
      </c>
    </row>
    <row r="102" spans="1:19" ht="15">
      <c r="A102" s="46" t="s">
        <v>45</v>
      </c>
      <c r="B102" s="91"/>
      <c r="C102" s="90"/>
      <c r="D102" s="91"/>
      <c r="E102" s="91"/>
      <c r="F102" s="125">
        <f t="shared" si="11"/>
        <v>0</v>
      </c>
      <c r="G102" s="128">
        <f t="shared" si="15"/>
        <v>0</v>
      </c>
      <c r="H102" s="129">
        <f t="shared" si="16"/>
        <v>0</v>
      </c>
      <c r="I102" s="91"/>
      <c r="J102" s="91"/>
      <c r="K102" s="91"/>
      <c r="L102" s="91"/>
      <c r="M102" s="91"/>
      <c r="N102" s="91"/>
      <c r="O102" s="91"/>
      <c r="P102" s="91"/>
      <c r="Q102" s="91"/>
      <c r="R102" s="13">
        <f t="shared" si="14"/>
        <v>0</v>
      </c>
      <c r="S102" s="7">
        <f t="shared" si="10"/>
        <v>0</v>
      </c>
    </row>
    <row r="103" spans="1:19" ht="15">
      <c r="A103" s="4" t="s">
        <v>139</v>
      </c>
      <c r="B103" s="109">
        <v>8000</v>
      </c>
      <c r="C103" s="64">
        <v>9450</v>
      </c>
      <c r="D103" s="109">
        <v>9500</v>
      </c>
      <c r="E103" s="109">
        <v>12000</v>
      </c>
      <c r="F103" s="144">
        <f t="shared" si="11"/>
        <v>4000</v>
      </c>
      <c r="G103" s="128">
        <f t="shared" si="15"/>
        <v>976.8</v>
      </c>
      <c r="H103" s="129">
        <f t="shared" si="16"/>
        <v>1454.4</v>
      </c>
      <c r="I103" s="91"/>
      <c r="J103" s="130"/>
      <c r="K103" s="130"/>
      <c r="L103" s="130"/>
      <c r="M103" s="130"/>
      <c r="N103" s="130"/>
      <c r="O103" s="130"/>
      <c r="P103" s="130"/>
      <c r="Q103" s="68">
        <v>6350</v>
      </c>
      <c r="R103" s="13">
        <f t="shared" si="14"/>
        <v>8781.2</v>
      </c>
      <c r="S103" s="7">
        <f t="shared" si="10"/>
        <v>-3218.7999999999993</v>
      </c>
    </row>
    <row r="104" spans="1:19" ht="15">
      <c r="A104" s="4" t="s">
        <v>163</v>
      </c>
      <c r="B104" s="109">
        <v>500</v>
      </c>
      <c r="C104" s="63">
        <v>0</v>
      </c>
      <c r="D104" s="109">
        <v>500</v>
      </c>
      <c r="E104" s="109">
        <v>500</v>
      </c>
      <c r="F104" s="144">
        <f t="shared" si="11"/>
        <v>0</v>
      </c>
      <c r="G104" s="128">
        <f t="shared" si="15"/>
        <v>40.7</v>
      </c>
      <c r="H104" s="129">
        <f t="shared" si="16"/>
        <v>60.6</v>
      </c>
      <c r="I104" s="91"/>
      <c r="J104" s="130"/>
      <c r="K104" s="130"/>
      <c r="L104" s="130"/>
      <c r="M104" s="130"/>
      <c r="N104" s="130"/>
      <c r="O104" s="130"/>
      <c r="P104" s="130"/>
      <c r="Q104" s="68">
        <v>397</v>
      </c>
      <c r="R104" s="13">
        <f t="shared" si="14"/>
        <v>498.3</v>
      </c>
      <c r="S104" s="7">
        <f t="shared" si="10"/>
        <v>-1.6999999999999886</v>
      </c>
    </row>
    <row r="105" spans="1:19" ht="15">
      <c r="A105" s="4" t="s">
        <v>164</v>
      </c>
      <c r="B105" s="109">
        <v>900</v>
      </c>
      <c r="C105" s="68">
        <v>410.86</v>
      </c>
      <c r="D105" s="109">
        <v>900</v>
      </c>
      <c r="E105" s="109">
        <v>900</v>
      </c>
      <c r="F105" s="144">
        <f t="shared" si="11"/>
        <v>0</v>
      </c>
      <c r="G105" s="128">
        <f t="shared" si="15"/>
        <v>73.26</v>
      </c>
      <c r="H105" s="129">
        <f t="shared" si="16"/>
        <v>109.08</v>
      </c>
      <c r="I105" s="91"/>
      <c r="J105" s="130"/>
      <c r="K105" s="130"/>
      <c r="L105" s="130"/>
      <c r="M105" s="130"/>
      <c r="N105" s="130"/>
      <c r="O105" s="130"/>
      <c r="P105" s="130"/>
      <c r="Q105" s="68">
        <v>714</v>
      </c>
      <c r="R105" s="13">
        <f t="shared" si="14"/>
        <v>896.34</v>
      </c>
      <c r="S105" s="7">
        <f t="shared" si="10"/>
        <v>-3.659999999999968</v>
      </c>
    </row>
    <row r="106" spans="1:19" ht="15">
      <c r="A106" s="46" t="s">
        <v>46</v>
      </c>
      <c r="B106" s="91"/>
      <c r="C106" s="90"/>
      <c r="D106" s="91"/>
      <c r="E106" s="91"/>
      <c r="F106" s="125">
        <f t="shared" si="11"/>
        <v>0</v>
      </c>
      <c r="G106" s="128">
        <f t="shared" si="15"/>
        <v>0</v>
      </c>
      <c r="H106" s="129">
        <f t="shared" si="16"/>
        <v>0</v>
      </c>
      <c r="I106" s="91"/>
      <c r="J106" s="91"/>
      <c r="K106" s="91"/>
      <c r="L106" s="91"/>
      <c r="M106" s="91"/>
      <c r="N106" s="91"/>
      <c r="O106" s="91"/>
      <c r="P106" s="91"/>
      <c r="Q106" s="91"/>
      <c r="R106" s="13">
        <f t="shared" si="14"/>
        <v>0</v>
      </c>
      <c r="S106" s="7">
        <f t="shared" si="10"/>
        <v>0</v>
      </c>
    </row>
    <row r="107" spans="1:19" ht="15">
      <c r="A107" s="4" t="s">
        <v>141</v>
      </c>
      <c r="B107" s="109">
        <v>1000</v>
      </c>
      <c r="C107" s="63">
        <v>550</v>
      </c>
      <c r="D107" s="109">
        <v>1000</v>
      </c>
      <c r="E107" s="109">
        <v>700</v>
      </c>
      <c r="F107" s="144">
        <f t="shared" si="11"/>
        <v>-300</v>
      </c>
      <c r="G107" s="128">
        <f t="shared" si="15"/>
        <v>56.98</v>
      </c>
      <c r="H107" s="129">
        <f t="shared" si="16"/>
        <v>84.84</v>
      </c>
      <c r="I107" s="91"/>
      <c r="J107" s="130"/>
      <c r="K107" s="130"/>
      <c r="L107" s="130"/>
      <c r="M107" s="130"/>
      <c r="N107" s="130"/>
      <c r="O107" s="130"/>
      <c r="P107" s="130"/>
      <c r="Q107" s="68">
        <v>794</v>
      </c>
      <c r="R107" s="13">
        <f t="shared" si="14"/>
        <v>935.8199999999999</v>
      </c>
      <c r="S107" s="7">
        <f t="shared" si="10"/>
        <v>235.81999999999994</v>
      </c>
    </row>
    <row r="108" spans="1:19" ht="15">
      <c r="A108" s="4" t="s">
        <v>140</v>
      </c>
      <c r="B108" s="109">
        <v>1000</v>
      </c>
      <c r="C108" s="68">
        <v>252.45</v>
      </c>
      <c r="D108" s="109">
        <v>1000</v>
      </c>
      <c r="E108" s="109">
        <v>700</v>
      </c>
      <c r="F108" s="144">
        <f t="shared" si="11"/>
        <v>-300</v>
      </c>
      <c r="G108" s="128">
        <f t="shared" si="15"/>
        <v>56.98</v>
      </c>
      <c r="H108" s="129">
        <f t="shared" si="16"/>
        <v>84.84</v>
      </c>
      <c r="I108" s="91"/>
      <c r="J108" s="130"/>
      <c r="K108" s="130"/>
      <c r="L108" s="109"/>
      <c r="M108" s="109"/>
      <c r="N108" s="109"/>
      <c r="O108" s="109"/>
      <c r="P108" s="68"/>
      <c r="Q108" s="68">
        <v>794</v>
      </c>
      <c r="R108" s="13">
        <f t="shared" si="14"/>
        <v>935.8199999999999</v>
      </c>
      <c r="S108" s="7">
        <f t="shared" si="10"/>
        <v>235.81999999999994</v>
      </c>
    </row>
    <row r="109" spans="1:19" ht="15">
      <c r="A109" s="46" t="s">
        <v>47</v>
      </c>
      <c r="B109" s="91"/>
      <c r="C109" s="90"/>
      <c r="D109" s="91"/>
      <c r="E109" s="91"/>
      <c r="F109" s="125">
        <f t="shared" si="11"/>
        <v>0</v>
      </c>
      <c r="G109" s="128">
        <f t="shared" si="15"/>
        <v>0</v>
      </c>
      <c r="H109" s="129">
        <f t="shared" si="16"/>
        <v>0</v>
      </c>
      <c r="I109" s="91"/>
      <c r="J109" s="91"/>
      <c r="K109" s="91"/>
      <c r="L109" s="91"/>
      <c r="M109" s="91"/>
      <c r="N109" s="91"/>
      <c r="O109" s="91"/>
      <c r="P109" s="91"/>
      <c r="Q109" s="91"/>
      <c r="R109" s="13">
        <f t="shared" si="14"/>
        <v>0</v>
      </c>
      <c r="S109" s="7">
        <f t="shared" si="10"/>
        <v>0</v>
      </c>
    </row>
    <row r="110" spans="1:19" ht="15">
      <c r="A110" s="4" t="s">
        <v>48</v>
      </c>
      <c r="B110" s="109">
        <v>9000</v>
      </c>
      <c r="C110" s="64">
        <v>9846.78</v>
      </c>
      <c r="D110" s="109">
        <v>9000</v>
      </c>
      <c r="E110" s="109">
        <v>9000</v>
      </c>
      <c r="F110" s="144">
        <f t="shared" si="11"/>
        <v>0</v>
      </c>
      <c r="G110" s="128">
        <f t="shared" si="15"/>
        <v>732.6</v>
      </c>
      <c r="H110" s="129">
        <f t="shared" si="16"/>
        <v>1090.8</v>
      </c>
      <c r="I110" s="91"/>
      <c r="J110" s="109"/>
      <c r="K110" s="130"/>
      <c r="L110" s="109"/>
      <c r="M110" s="109"/>
      <c r="N110" s="109"/>
      <c r="O110" s="109"/>
      <c r="P110" s="109"/>
      <c r="Q110" s="68">
        <v>7144</v>
      </c>
      <c r="R110" s="13">
        <f t="shared" si="14"/>
        <v>8967.4</v>
      </c>
      <c r="S110" s="7">
        <f t="shared" si="10"/>
        <v>-32.600000000000364</v>
      </c>
    </row>
    <row r="111" spans="1:19" ht="15">
      <c r="A111" s="4" t="s">
        <v>49</v>
      </c>
      <c r="B111" s="109">
        <v>8000</v>
      </c>
      <c r="C111" s="64">
        <v>10816.32</v>
      </c>
      <c r="D111" s="109">
        <v>8000</v>
      </c>
      <c r="E111" s="109">
        <v>8000</v>
      </c>
      <c r="F111" s="144">
        <f t="shared" si="11"/>
        <v>0</v>
      </c>
      <c r="G111" s="128">
        <f t="shared" si="15"/>
        <v>651.2</v>
      </c>
      <c r="H111" s="129">
        <f t="shared" si="16"/>
        <v>969.6</v>
      </c>
      <c r="I111" s="91"/>
      <c r="J111" s="109"/>
      <c r="K111" s="130"/>
      <c r="L111" s="109"/>
      <c r="M111" s="109"/>
      <c r="N111" s="109"/>
      <c r="O111" s="109"/>
      <c r="P111" s="130"/>
      <c r="Q111" s="68">
        <v>6350</v>
      </c>
      <c r="R111" s="13">
        <f t="shared" si="14"/>
        <v>7970.8</v>
      </c>
      <c r="S111" s="7">
        <f t="shared" si="10"/>
        <v>-29.199999999999818</v>
      </c>
    </row>
    <row r="112" spans="1:19" ht="15">
      <c r="A112" s="4" t="s">
        <v>50</v>
      </c>
      <c r="B112" s="109">
        <v>4000</v>
      </c>
      <c r="C112" s="64">
        <v>1732.2</v>
      </c>
      <c r="D112" s="109">
        <v>4000</v>
      </c>
      <c r="E112" s="109">
        <v>4000</v>
      </c>
      <c r="F112" s="144">
        <f t="shared" si="11"/>
        <v>0</v>
      </c>
      <c r="G112" s="128">
        <f t="shared" si="15"/>
        <v>325.6</v>
      </c>
      <c r="H112" s="129">
        <f t="shared" si="16"/>
        <v>484.8</v>
      </c>
      <c r="I112" s="91"/>
      <c r="J112" s="109"/>
      <c r="K112" s="68"/>
      <c r="L112" s="109"/>
      <c r="M112" s="109"/>
      <c r="N112" s="109"/>
      <c r="O112" s="109"/>
      <c r="P112" s="109"/>
      <c r="Q112" s="68">
        <v>3175</v>
      </c>
      <c r="R112" s="13">
        <f t="shared" si="14"/>
        <v>3985.4</v>
      </c>
      <c r="S112" s="7">
        <f t="shared" si="10"/>
        <v>-14.599999999999909</v>
      </c>
    </row>
    <row r="113" spans="1:19" ht="15">
      <c r="A113" s="4" t="s">
        <v>51</v>
      </c>
      <c r="B113" s="109">
        <v>2500</v>
      </c>
      <c r="C113" s="64">
        <v>1030.25</v>
      </c>
      <c r="D113" s="109">
        <v>2200</v>
      </c>
      <c r="E113" s="109">
        <v>2200</v>
      </c>
      <c r="F113" s="144">
        <f t="shared" si="11"/>
        <v>-300</v>
      </c>
      <c r="G113" s="128">
        <f t="shared" si="15"/>
        <v>179.08</v>
      </c>
      <c r="H113" s="129">
        <f t="shared" si="16"/>
        <v>266.64</v>
      </c>
      <c r="I113" s="91"/>
      <c r="J113" s="130"/>
      <c r="K113" s="130"/>
      <c r="L113" s="109"/>
      <c r="M113" s="109"/>
      <c r="N113" s="109"/>
      <c r="O113" s="109"/>
      <c r="P113" s="130"/>
      <c r="Q113" s="68">
        <v>1985</v>
      </c>
      <c r="R113" s="13">
        <f t="shared" si="14"/>
        <v>2430.7200000000003</v>
      </c>
      <c r="S113" s="7">
        <f t="shared" si="10"/>
        <v>230.72000000000025</v>
      </c>
    </row>
    <row r="114" spans="1:19" ht="15">
      <c r="A114" s="4" t="s">
        <v>184</v>
      </c>
      <c r="B114" s="109">
        <v>5700</v>
      </c>
      <c r="C114" s="64">
        <v>2330.33</v>
      </c>
      <c r="D114" s="109">
        <v>5000</v>
      </c>
      <c r="E114" s="109">
        <v>3800</v>
      </c>
      <c r="F114" s="144">
        <f t="shared" si="11"/>
        <v>-1900</v>
      </c>
      <c r="G114" s="128">
        <f t="shared" si="15"/>
        <v>309.32</v>
      </c>
      <c r="H114" s="129">
        <f t="shared" si="16"/>
        <v>460.56</v>
      </c>
      <c r="I114" s="91"/>
      <c r="J114" s="68"/>
      <c r="K114" s="130"/>
      <c r="L114" s="109"/>
      <c r="M114" s="109"/>
      <c r="N114" s="109"/>
      <c r="O114" s="109"/>
      <c r="P114" s="130"/>
      <c r="Q114" s="68">
        <v>4525</v>
      </c>
      <c r="R114" s="13">
        <f t="shared" si="14"/>
        <v>5294.88</v>
      </c>
      <c r="S114" s="7">
        <f t="shared" si="10"/>
        <v>1494.88</v>
      </c>
    </row>
    <row r="115" spans="1:19" ht="15">
      <c r="A115" s="4" t="s">
        <v>52</v>
      </c>
      <c r="B115" s="109">
        <v>3000</v>
      </c>
      <c r="C115" s="64">
        <v>1504.35</v>
      </c>
      <c r="D115" s="109">
        <v>3000</v>
      </c>
      <c r="E115" s="109">
        <v>3000</v>
      </c>
      <c r="F115" s="144">
        <f t="shared" si="11"/>
        <v>0</v>
      </c>
      <c r="G115" s="128">
        <f t="shared" si="15"/>
        <v>244.2</v>
      </c>
      <c r="H115" s="129">
        <f t="shared" si="16"/>
        <v>363.6</v>
      </c>
      <c r="I115" s="91"/>
      <c r="J115" s="130"/>
      <c r="K115" s="130"/>
      <c r="L115" s="130"/>
      <c r="M115" s="130"/>
      <c r="N115" s="130"/>
      <c r="O115" s="130"/>
      <c r="P115" s="130"/>
      <c r="Q115" s="68">
        <v>2381</v>
      </c>
      <c r="R115" s="13">
        <f t="shared" si="14"/>
        <v>2988.8</v>
      </c>
      <c r="S115" s="7">
        <f t="shared" si="10"/>
        <v>-11.199999999999818</v>
      </c>
    </row>
    <row r="116" spans="1:19" ht="15">
      <c r="A116" s="4" t="s">
        <v>53</v>
      </c>
      <c r="B116" s="109">
        <v>55000</v>
      </c>
      <c r="C116" s="64">
        <v>24322.48</v>
      </c>
      <c r="D116" s="109">
        <v>48600</v>
      </c>
      <c r="E116" s="109">
        <v>42700</v>
      </c>
      <c r="F116" s="144">
        <f t="shared" si="11"/>
        <v>-12300</v>
      </c>
      <c r="G116" s="128">
        <f t="shared" si="15"/>
        <v>3475.78</v>
      </c>
      <c r="H116" s="129">
        <f t="shared" si="16"/>
        <v>5175.24</v>
      </c>
      <c r="I116" s="91"/>
      <c r="J116" s="109"/>
      <c r="K116" s="130"/>
      <c r="L116" s="109"/>
      <c r="M116" s="109"/>
      <c r="N116" s="109"/>
      <c r="O116" s="109"/>
      <c r="P116" s="130"/>
      <c r="Q116" s="68">
        <v>43659</v>
      </c>
      <c r="R116" s="13">
        <f t="shared" si="14"/>
        <v>52310.020000000004</v>
      </c>
      <c r="S116" s="7">
        <f t="shared" si="10"/>
        <v>9610.020000000004</v>
      </c>
    </row>
    <row r="117" spans="1:19" ht="15">
      <c r="A117" s="4" t="s">
        <v>54</v>
      </c>
      <c r="B117" s="109">
        <v>15000</v>
      </c>
      <c r="C117" s="68">
        <v>3900.45</v>
      </c>
      <c r="D117" s="109">
        <v>8000</v>
      </c>
      <c r="E117" s="109">
        <v>6900</v>
      </c>
      <c r="F117" s="144">
        <f t="shared" si="11"/>
        <v>-8100</v>
      </c>
      <c r="G117" s="128">
        <f t="shared" si="15"/>
        <v>561.66</v>
      </c>
      <c r="H117" s="129">
        <f t="shared" si="16"/>
        <v>836.28</v>
      </c>
      <c r="I117" s="91"/>
      <c r="J117" s="109"/>
      <c r="K117" s="130"/>
      <c r="L117" s="109"/>
      <c r="M117" s="109"/>
      <c r="N117" s="109"/>
      <c r="O117" s="109"/>
      <c r="P117" s="130"/>
      <c r="Q117" s="68">
        <v>11907</v>
      </c>
      <c r="R117" s="13">
        <f t="shared" si="14"/>
        <v>13304.94</v>
      </c>
      <c r="S117" s="7">
        <f t="shared" si="10"/>
        <v>6404.9400000000005</v>
      </c>
    </row>
    <row r="118" spans="1:19" ht="15">
      <c r="A118" s="4" t="s">
        <v>185</v>
      </c>
      <c r="B118" s="109">
        <v>2500</v>
      </c>
      <c r="C118" s="68">
        <v>960</v>
      </c>
      <c r="D118" s="109">
        <v>1920</v>
      </c>
      <c r="E118" s="109">
        <v>1740</v>
      </c>
      <c r="F118" s="144">
        <f t="shared" si="11"/>
        <v>-760</v>
      </c>
      <c r="G118" s="128">
        <f t="shared" si="15"/>
        <v>141.636</v>
      </c>
      <c r="H118" s="129">
        <f t="shared" si="16"/>
        <v>210.888</v>
      </c>
      <c r="I118" s="91"/>
      <c r="J118" s="109"/>
      <c r="K118" s="130"/>
      <c r="L118" s="109"/>
      <c r="M118" s="109"/>
      <c r="N118" s="109"/>
      <c r="O118" s="109"/>
      <c r="P118" s="130"/>
      <c r="Q118" s="68"/>
      <c r="R118" s="13"/>
      <c r="S118" s="7"/>
    </row>
    <row r="119" spans="1:19" ht="15">
      <c r="A119" s="46" t="s">
        <v>55</v>
      </c>
      <c r="B119" s="91"/>
      <c r="C119" s="90"/>
      <c r="D119" s="91"/>
      <c r="E119" s="91"/>
      <c r="F119" s="125"/>
      <c r="G119" s="128">
        <f t="shared" si="15"/>
        <v>0</v>
      </c>
      <c r="H119" s="129">
        <f t="shared" si="16"/>
        <v>0</v>
      </c>
      <c r="I119" s="91"/>
      <c r="J119" s="91"/>
      <c r="K119" s="91"/>
      <c r="L119" s="91"/>
      <c r="M119" s="91"/>
      <c r="N119" s="91"/>
      <c r="O119" s="91"/>
      <c r="P119" s="91"/>
      <c r="Q119" s="91"/>
      <c r="R119" s="13">
        <f t="shared" si="14"/>
        <v>0</v>
      </c>
      <c r="S119" s="7">
        <f t="shared" si="10"/>
        <v>0</v>
      </c>
    </row>
    <row r="120" spans="1:19" ht="15">
      <c r="A120" s="4" t="s">
        <v>142</v>
      </c>
      <c r="B120" s="109">
        <v>1000</v>
      </c>
      <c r="C120" s="63">
        <v>488.77</v>
      </c>
      <c r="D120" s="109">
        <v>1000</v>
      </c>
      <c r="E120" s="109">
        <v>1000</v>
      </c>
      <c r="F120" s="144">
        <f t="shared" si="11"/>
        <v>0</v>
      </c>
      <c r="G120" s="128">
        <f t="shared" si="15"/>
        <v>81.4</v>
      </c>
      <c r="H120" s="129">
        <f t="shared" si="16"/>
        <v>121.2</v>
      </c>
      <c r="I120" s="91"/>
      <c r="J120" s="130"/>
      <c r="K120" s="130"/>
      <c r="L120" s="130"/>
      <c r="M120" s="130"/>
      <c r="N120" s="130"/>
      <c r="O120" s="130"/>
      <c r="P120" s="130"/>
      <c r="Q120" s="68">
        <v>794</v>
      </c>
      <c r="R120" s="13">
        <f t="shared" si="14"/>
        <v>996.6</v>
      </c>
      <c r="S120" s="7">
        <f t="shared" si="10"/>
        <v>-3.3999999999999773</v>
      </c>
    </row>
    <row r="121" spans="1:19" ht="15">
      <c r="A121" s="4" t="s">
        <v>143</v>
      </c>
      <c r="B121" s="109">
        <v>1500</v>
      </c>
      <c r="C121" s="63">
        <v>904.85</v>
      </c>
      <c r="D121" s="109">
        <v>2000</v>
      </c>
      <c r="E121" s="109">
        <v>1500</v>
      </c>
      <c r="F121" s="144">
        <f t="shared" si="11"/>
        <v>0</v>
      </c>
      <c r="G121" s="128">
        <v>2000</v>
      </c>
      <c r="H121" s="129"/>
      <c r="I121" s="91"/>
      <c r="J121" s="130"/>
      <c r="K121" s="130"/>
      <c r="L121" s="130"/>
      <c r="M121" s="130"/>
      <c r="N121" s="130"/>
      <c r="O121" s="130"/>
      <c r="P121" s="130"/>
      <c r="Q121" s="68"/>
      <c r="R121" s="13">
        <f t="shared" si="14"/>
        <v>2000</v>
      </c>
      <c r="S121" s="7">
        <f t="shared" si="10"/>
        <v>500</v>
      </c>
    </row>
    <row r="122" spans="1:19" ht="15">
      <c r="A122" s="4" t="s">
        <v>144</v>
      </c>
      <c r="B122" s="109">
        <v>12480</v>
      </c>
      <c r="C122" s="64">
        <v>6052.5</v>
      </c>
      <c r="D122" s="109">
        <v>16800</v>
      </c>
      <c r="E122" s="109">
        <v>11200</v>
      </c>
      <c r="F122" s="144">
        <f t="shared" si="11"/>
        <v>-1280</v>
      </c>
      <c r="G122" s="128">
        <v>16800</v>
      </c>
      <c r="H122" s="129"/>
      <c r="I122" s="91"/>
      <c r="J122" s="130"/>
      <c r="K122" s="130"/>
      <c r="L122" s="130"/>
      <c r="M122" s="130"/>
      <c r="N122" s="130"/>
      <c r="O122" s="130"/>
      <c r="P122" s="130"/>
      <c r="Q122" s="68"/>
      <c r="R122" s="13">
        <f t="shared" si="14"/>
        <v>16800</v>
      </c>
      <c r="S122" s="7">
        <f t="shared" si="10"/>
        <v>5600</v>
      </c>
    </row>
    <row r="123" spans="1:19" ht="15">
      <c r="A123" s="4" t="s">
        <v>145</v>
      </c>
      <c r="B123" s="109">
        <v>3000</v>
      </c>
      <c r="C123" s="64">
        <v>1026.7</v>
      </c>
      <c r="D123" s="109">
        <v>0</v>
      </c>
      <c r="E123" s="109">
        <v>0</v>
      </c>
      <c r="F123" s="144">
        <f t="shared" si="11"/>
        <v>-3000</v>
      </c>
      <c r="G123" s="128">
        <f t="shared" si="15"/>
        <v>0</v>
      </c>
      <c r="H123" s="129">
        <f t="shared" si="16"/>
        <v>0</v>
      </c>
      <c r="I123" s="91"/>
      <c r="J123" s="68"/>
      <c r="K123" s="68"/>
      <c r="L123" s="130"/>
      <c r="M123" s="130"/>
      <c r="N123" s="68"/>
      <c r="O123" s="130"/>
      <c r="P123" s="130"/>
      <c r="Q123" s="68">
        <v>2381</v>
      </c>
      <c r="R123" s="13">
        <f t="shared" si="14"/>
        <v>2381</v>
      </c>
      <c r="S123" s="7">
        <f t="shared" si="10"/>
        <v>2381</v>
      </c>
    </row>
    <row r="124" spans="1:19" ht="15">
      <c r="A124" s="4" t="s">
        <v>175</v>
      </c>
      <c r="B124" s="109">
        <v>2120</v>
      </c>
      <c r="C124" s="63">
        <v>528.7</v>
      </c>
      <c r="D124" s="109">
        <v>4500</v>
      </c>
      <c r="E124" s="109">
        <v>4500</v>
      </c>
      <c r="F124" s="144">
        <f t="shared" si="11"/>
        <v>2380</v>
      </c>
      <c r="G124" s="128">
        <f t="shared" si="15"/>
        <v>366.3</v>
      </c>
      <c r="H124" s="129">
        <f t="shared" si="16"/>
        <v>545.4</v>
      </c>
      <c r="I124" s="91"/>
      <c r="J124" s="130"/>
      <c r="K124" s="130"/>
      <c r="L124" s="109"/>
      <c r="M124" s="109"/>
      <c r="N124" s="109"/>
      <c r="O124" s="130"/>
      <c r="P124" s="130"/>
      <c r="Q124" s="68">
        <v>1683</v>
      </c>
      <c r="R124" s="13">
        <f>SUM(G124:Q124)</f>
        <v>2594.7</v>
      </c>
      <c r="S124" s="7">
        <f>+R124-E124</f>
        <v>-1905.3000000000002</v>
      </c>
    </row>
    <row r="125" spans="1:19" ht="15">
      <c r="A125" s="4" t="s">
        <v>176</v>
      </c>
      <c r="B125" s="109">
        <v>4200</v>
      </c>
      <c r="C125" s="63">
        <v>649.94</v>
      </c>
      <c r="D125" s="109">
        <v>3800</v>
      </c>
      <c r="E125" s="109">
        <v>3800</v>
      </c>
      <c r="F125" s="144">
        <f t="shared" si="11"/>
        <v>-400</v>
      </c>
      <c r="G125" s="128">
        <f t="shared" si="15"/>
        <v>309.32</v>
      </c>
      <c r="H125" s="129">
        <f t="shared" si="16"/>
        <v>460.56</v>
      </c>
      <c r="I125" s="91"/>
      <c r="J125" s="130"/>
      <c r="K125" s="130"/>
      <c r="L125" s="109"/>
      <c r="M125" s="109"/>
      <c r="N125" s="109"/>
      <c r="O125" s="130"/>
      <c r="P125" s="130"/>
      <c r="Q125" s="68">
        <v>3334</v>
      </c>
      <c r="R125" s="13">
        <f>SUM(G125:Q125)</f>
        <v>4103.88</v>
      </c>
      <c r="S125" s="7">
        <f>+R125-E125</f>
        <v>303.8800000000001</v>
      </c>
    </row>
    <row r="126" spans="1:19" ht="15">
      <c r="A126" s="4" t="s">
        <v>146</v>
      </c>
      <c r="B126" s="109">
        <v>3000</v>
      </c>
      <c r="C126" s="63">
        <v>0</v>
      </c>
      <c r="D126" s="109">
        <v>0</v>
      </c>
      <c r="E126" s="109">
        <v>0</v>
      </c>
      <c r="F126" s="144">
        <f t="shared" si="11"/>
        <v>-3000</v>
      </c>
      <c r="G126" s="128">
        <f t="shared" si="15"/>
        <v>0</v>
      </c>
      <c r="H126" s="129">
        <f t="shared" si="16"/>
        <v>0</v>
      </c>
      <c r="I126" s="91"/>
      <c r="J126" s="130"/>
      <c r="K126" s="130"/>
      <c r="L126" s="109"/>
      <c r="M126" s="109"/>
      <c r="N126" s="109"/>
      <c r="O126" s="130"/>
      <c r="P126" s="130"/>
      <c r="Q126" s="68">
        <v>2381</v>
      </c>
      <c r="R126" s="13">
        <f t="shared" si="14"/>
        <v>2381</v>
      </c>
      <c r="S126" s="7">
        <f t="shared" si="10"/>
        <v>2381</v>
      </c>
    </row>
    <row r="127" spans="1:19" ht="15">
      <c r="A127" s="4" t="s">
        <v>147</v>
      </c>
      <c r="B127" s="109">
        <v>11330</v>
      </c>
      <c r="C127" s="68">
        <v>5311.66</v>
      </c>
      <c r="D127" s="109">
        <v>11250</v>
      </c>
      <c r="E127" s="109">
        <v>5022</v>
      </c>
      <c r="F127" s="144">
        <f t="shared" si="11"/>
        <v>-6308</v>
      </c>
      <c r="G127" s="128">
        <f t="shared" si="15"/>
        <v>408.7908</v>
      </c>
      <c r="H127" s="129">
        <f t="shared" si="16"/>
        <v>608.6664000000001</v>
      </c>
      <c r="I127" s="91"/>
      <c r="J127" s="130"/>
      <c r="K127" s="130"/>
      <c r="L127" s="109"/>
      <c r="M127" s="109"/>
      <c r="N127" s="109"/>
      <c r="O127" s="130"/>
      <c r="P127" s="130"/>
      <c r="Q127" s="68">
        <v>8994</v>
      </c>
      <c r="R127" s="13">
        <f t="shared" si="14"/>
        <v>10011.4572</v>
      </c>
      <c r="S127" s="7">
        <f t="shared" si="10"/>
        <v>4989.457200000001</v>
      </c>
    </row>
    <row r="128" spans="1:19" ht="15">
      <c r="A128" s="4" t="s">
        <v>148</v>
      </c>
      <c r="B128" s="109">
        <v>0</v>
      </c>
      <c r="C128" s="63">
        <v>-306.5</v>
      </c>
      <c r="D128" s="109"/>
      <c r="E128" s="109"/>
      <c r="F128" s="144">
        <f t="shared" si="11"/>
        <v>0</v>
      </c>
      <c r="G128" s="128">
        <f t="shared" si="15"/>
        <v>0</v>
      </c>
      <c r="H128" s="129">
        <f t="shared" si="16"/>
        <v>0</v>
      </c>
      <c r="I128" s="91"/>
      <c r="J128" s="130"/>
      <c r="K128" s="130"/>
      <c r="L128" s="130"/>
      <c r="M128" s="130"/>
      <c r="N128" s="130"/>
      <c r="O128" s="130"/>
      <c r="P128" s="130"/>
      <c r="Q128" s="68"/>
      <c r="R128" s="13">
        <f t="shared" si="14"/>
        <v>0</v>
      </c>
      <c r="S128" s="7">
        <f t="shared" si="10"/>
        <v>0</v>
      </c>
    </row>
    <row r="129" spans="1:19" ht="15">
      <c r="A129" s="46" t="s">
        <v>56</v>
      </c>
      <c r="B129" s="91"/>
      <c r="C129" s="90"/>
      <c r="D129" s="91"/>
      <c r="E129" s="91"/>
      <c r="F129" s="125">
        <f t="shared" si="11"/>
        <v>0</v>
      </c>
      <c r="G129" s="128">
        <f t="shared" si="15"/>
        <v>0</v>
      </c>
      <c r="H129" s="129">
        <f t="shared" si="16"/>
        <v>0</v>
      </c>
      <c r="I129" s="91"/>
      <c r="J129" s="91"/>
      <c r="K129" s="91"/>
      <c r="L129" s="91"/>
      <c r="M129" s="91"/>
      <c r="N129" s="91"/>
      <c r="O129" s="91"/>
      <c r="P129" s="91"/>
      <c r="Q129" s="91"/>
      <c r="R129" s="13">
        <f t="shared" si="14"/>
        <v>0</v>
      </c>
      <c r="S129" s="7">
        <f t="shared" si="10"/>
        <v>0</v>
      </c>
    </row>
    <row r="130" spans="1:19" ht="15">
      <c r="A130" s="4" t="s">
        <v>149</v>
      </c>
      <c r="B130" s="109">
        <v>3000</v>
      </c>
      <c r="C130" s="63">
        <v>280</v>
      </c>
      <c r="D130" s="109">
        <v>500</v>
      </c>
      <c r="E130" s="109">
        <v>500</v>
      </c>
      <c r="F130" s="144">
        <f>+E130-B130</f>
        <v>-2500</v>
      </c>
      <c r="G130" s="128">
        <f t="shared" si="15"/>
        <v>40.7</v>
      </c>
      <c r="H130" s="129">
        <f t="shared" si="16"/>
        <v>60.6</v>
      </c>
      <c r="I130" s="91"/>
      <c r="J130" s="130"/>
      <c r="K130" s="130"/>
      <c r="L130" s="109"/>
      <c r="M130" s="109"/>
      <c r="N130" s="109"/>
      <c r="O130" s="109"/>
      <c r="P130" s="130"/>
      <c r="Q130" s="68">
        <v>2381</v>
      </c>
      <c r="R130" s="13">
        <f t="shared" si="14"/>
        <v>2482.3</v>
      </c>
      <c r="S130" s="7">
        <f t="shared" si="10"/>
        <v>1982.3000000000002</v>
      </c>
    </row>
    <row r="131" spans="1:19" ht="15.75" thickBot="1">
      <c r="A131" s="52" t="s">
        <v>57</v>
      </c>
      <c r="B131" s="112"/>
      <c r="C131" s="65">
        <v>441.6</v>
      </c>
      <c r="D131" s="112"/>
      <c r="E131" s="112"/>
      <c r="F131" s="162">
        <f>+E131-B131</f>
        <v>0</v>
      </c>
      <c r="G131" s="141">
        <f>+E131*0.0861</f>
        <v>0</v>
      </c>
      <c r="H131" s="186">
        <f>+E131*0.1201</f>
        <v>0</v>
      </c>
      <c r="I131" s="111"/>
      <c r="J131" s="148"/>
      <c r="K131" s="148"/>
      <c r="L131" s="148"/>
      <c r="M131" s="148"/>
      <c r="N131" s="148"/>
      <c r="O131" s="148"/>
      <c r="P131" s="148"/>
      <c r="Q131" s="163"/>
      <c r="R131" s="13">
        <f t="shared" si="14"/>
        <v>0</v>
      </c>
      <c r="S131" s="7"/>
    </row>
    <row r="132" spans="1:19" ht="15.75" thickBot="1">
      <c r="A132" s="48" t="s">
        <v>6</v>
      </c>
      <c r="B132" s="57">
        <f>SUM(B66:B131)</f>
        <v>749365</v>
      </c>
      <c r="C132" s="164">
        <f aca="true" t="shared" si="17" ref="C132:Q132">SUM(C66:C131)</f>
        <v>333167.85599999997</v>
      </c>
      <c r="D132" s="57">
        <f t="shared" si="17"/>
        <v>823523.4481068001</v>
      </c>
      <c r="E132" s="57">
        <f t="shared" si="17"/>
        <v>712500.32</v>
      </c>
      <c r="F132" s="166">
        <f t="shared" si="17"/>
        <v>-36864.68</v>
      </c>
      <c r="G132" s="86">
        <f t="shared" si="17"/>
        <v>190836.64710000006</v>
      </c>
      <c r="H132" s="79">
        <f t="shared" si="17"/>
        <v>179809.73412</v>
      </c>
      <c r="I132" s="40">
        <f t="shared" si="17"/>
        <v>0</v>
      </c>
      <c r="J132" s="57">
        <f t="shared" si="17"/>
        <v>0</v>
      </c>
      <c r="K132" s="57">
        <f t="shared" si="17"/>
        <v>0</v>
      </c>
      <c r="L132" s="57">
        <f t="shared" si="17"/>
        <v>0</v>
      </c>
      <c r="M132" s="57">
        <f t="shared" si="17"/>
        <v>0</v>
      </c>
      <c r="N132" s="57">
        <f t="shared" si="17"/>
        <v>0</v>
      </c>
      <c r="O132" s="57">
        <f t="shared" si="17"/>
        <v>0</v>
      </c>
      <c r="P132" s="57">
        <f t="shared" si="17"/>
        <v>0</v>
      </c>
      <c r="Q132" s="57">
        <f t="shared" si="17"/>
        <v>412430</v>
      </c>
      <c r="R132" s="15">
        <f>SUM(G132:Q132)-1</f>
        <v>783075.3812200001</v>
      </c>
      <c r="S132" s="7">
        <f>+R132-E132</f>
        <v>70575.06122000015</v>
      </c>
    </row>
    <row r="133" spans="1:18" ht="18">
      <c r="A133" s="69"/>
      <c r="B133" s="104" t="s">
        <v>61</v>
      </c>
      <c r="C133" s="104" t="s">
        <v>105</v>
      </c>
      <c r="D133" s="104" t="s">
        <v>61</v>
      </c>
      <c r="E133" s="104" t="s">
        <v>61</v>
      </c>
      <c r="F133" s="118" t="s">
        <v>113</v>
      </c>
      <c r="G133" s="87" t="s">
        <v>63</v>
      </c>
      <c r="H133" s="80" t="s">
        <v>64</v>
      </c>
      <c r="I133" s="58" t="s">
        <v>66</v>
      </c>
      <c r="J133" s="59" t="s">
        <v>65</v>
      </c>
      <c r="K133" s="59" t="s">
        <v>67</v>
      </c>
      <c r="L133" s="59" t="s">
        <v>68</v>
      </c>
      <c r="M133" s="59" t="s">
        <v>69</v>
      </c>
      <c r="N133" s="59" t="s">
        <v>70</v>
      </c>
      <c r="O133" s="59" t="s">
        <v>71</v>
      </c>
      <c r="P133" s="59" t="s">
        <v>72</v>
      </c>
      <c r="Q133" s="59" t="s">
        <v>114</v>
      </c>
      <c r="R133" s="7"/>
    </row>
    <row r="134" spans="1:18" ht="18.75" thickBot="1">
      <c r="A134" s="72"/>
      <c r="B134" s="106" t="str">
        <f>+B4</f>
        <v>2019-2020</v>
      </c>
      <c r="C134" s="105" t="str">
        <f>+C4</f>
        <v>Jul-Dec</v>
      </c>
      <c r="D134" s="106" t="str">
        <f>+D4</f>
        <v>2020-2021</v>
      </c>
      <c r="E134" s="106" t="str">
        <f>+E4</f>
        <v>2020-2021</v>
      </c>
      <c r="F134" s="119" t="s">
        <v>112</v>
      </c>
      <c r="G134" s="84" t="s">
        <v>73</v>
      </c>
      <c r="H134" s="77" t="s">
        <v>74</v>
      </c>
      <c r="I134" s="39" t="s">
        <v>74</v>
      </c>
      <c r="J134" s="8" t="s">
        <v>74</v>
      </c>
      <c r="K134" s="8" t="s">
        <v>74</v>
      </c>
      <c r="L134" s="8" t="s">
        <v>75</v>
      </c>
      <c r="M134" s="8" t="s">
        <v>75</v>
      </c>
      <c r="N134" s="8" t="s">
        <v>75</v>
      </c>
      <c r="O134" s="8" t="s">
        <v>76</v>
      </c>
      <c r="P134" s="8" t="s">
        <v>74</v>
      </c>
      <c r="Q134" s="8" t="s">
        <v>75</v>
      </c>
      <c r="R134" s="9" t="s">
        <v>116</v>
      </c>
    </row>
    <row r="135" spans="1:19" ht="15">
      <c r="A135" s="73" t="s">
        <v>58</v>
      </c>
      <c r="B135" s="18">
        <f>B60</f>
        <v>749365</v>
      </c>
      <c r="C135" s="18">
        <f>C60</f>
        <v>385784.11000000004</v>
      </c>
      <c r="D135" s="18">
        <f>D60</f>
        <v>823523</v>
      </c>
      <c r="E135" s="18">
        <f>E60</f>
        <v>712500</v>
      </c>
      <c r="F135" s="157">
        <f>+E135-B135</f>
        <v>-36865</v>
      </c>
      <c r="G135" s="86">
        <f aca="true" t="shared" si="18" ref="G135:R135">G60</f>
        <v>190480</v>
      </c>
      <c r="H135" s="79">
        <f t="shared" si="18"/>
        <v>180081</v>
      </c>
      <c r="I135" s="40">
        <f t="shared" si="18"/>
        <v>0</v>
      </c>
      <c r="J135" s="18">
        <f t="shared" si="18"/>
        <v>0</v>
      </c>
      <c r="K135" s="18">
        <f t="shared" si="18"/>
        <v>0</v>
      </c>
      <c r="L135" s="18">
        <f t="shared" si="18"/>
        <v>0</v>
      </c>
      <c r="M135" s="18">
        <f t="shared" si="18"/>
        <v>0</v>
      </c>
      <c r="N135" s="18">
        <f t="shared" si="18"/>
        <v>0</v>
      </c>
      <c r="O135" s="18">
        <f t="shared" si="18"/>
        <v>0</v>
      </c>
      <c r="P135" s="18">
        <f t="shared" si="18"/>
        <v>0</v>
      </c>
      <c r="Q135" s="18">
        <f t="shared" si="18"/>
        <v>412352</v>
      </c>
      <c r="R135" s="18">
        <f t="shared" si="18"/>
        <v>782913</v>
      </c>
      <c r="S135" s="7">
        <f>+R135-E135</f>
        <v>70413</v>
      </c>
    </row>
    <row r="136" spans="1:19" ht="15.75" thickBot="1">
      <c r="A136" s="73" t="s">
        <v>59</v>
      </c>
      <c r="B136" s="19">
        <f>B132</f>
        <v>749365</v>
      </c>
      <c r="C136" s="19">
        <f>C132</f>
        <v>333167.85599999997</v>
      </c>
      <c r="D136" s="19">
        <f>D132</f>
        <v>823523.4481068001</v>
      </c>
      <c r="E136" s="19">
        <f>E132</f>
        <v>712500.32</v>
      </c>
      <c r="F136" s="170">
        <f>+E136-B136</f>
        <v>-36864.68000000005</v>
      </c>
      <c r="G136" s="88">
        <f aca="true" t="shared" si="19" ref="G136:R136">G132</f>
        <v>190836.64710000006</v>
      </c>
      <c r="H136" s="81">
        <f t="shared" si="19"/>
        <v>179809.73412</v>
      </c>
      <c r="I136" s="41">
        <f t="shared" si="19"/>
        <v>0</v>
      </c>
      <c r="J136" s="19">
        <f>J132</f>
        <v>0</v>
      </c>
      <c r="K136" s="19">
        <f t="shared" si="19"/>
        <v>0</v>
      </c>
      <c r="L136" s="19">
        <f t="shared" si="19"/>
        <v>0</v>
      </c>
      <c r="M136" s="19">
        <f t="shared" si="19"/>
        <v>0</v>
      </c>
      <c r="N136" s="19">
        <f t="shared" si="19"/>
        <v>0</v>
      </c>
      <c r="O136" s="19">
        <f t="shared" si="19"/>
        <v>0</v>
      </c>
      <c r="P136" s="19">
        <f t="shared" si="19"/>
        <v>0</v>
      </c>
      <c r="Q136" s="19">
        <f>Q132</f>
        <v>412430</v>
      </c>
      <c r="R136" s="19">
        <f t="shared" si="19"/>
        <v>783075.3812200001</v>
      </c>
      <c r="S136" s="7">
        <f>+R136-E136</f>
        <v>70575.06122000015</v>
      </c>
    </row>
    <row r="137" spans="1:19" ht="15.75" thickBot="1">
      <c r="A137" s="74" t="s">
        <v>60</v>
      </c>
      <c r="B137" s="114">
        <f aca="true" t="shared" si="20" ref="B137:P137">+B135-B136</f>
        <v>0</v>
      </c>
      <c r="C137" s="114">
        <f t="shared" si="20"/>
        <v>52616.25400000007</v>
      </c>
      <c r="D137" s="114">
        <f t="shared" si="20"/>
        <v>-0.44810680008959025</v>
      </c>
      <c r="E137" s="114">
        <f t="shared" si="20"/>
        <v>-0.31999999994877726</v>
      </c>
      <c r="F137" s="172">
        <f t="shared" si="20"/>
        <v>-0.31999999994877726</v>
      </c>
      <c r="G137" s="89">
        <f t="shared" si="20"/>
        <v>-356.64710000006016</v>
      </c>
      <c r="H137" s="82">
        <f t="shared" si="20"/>
        <v>271.26587999999174</v>
      </c>
      <c r="I137" s="42">
        <f t="shared" si="20"/>
        <v>0</v>
      </c>
      <c r="J137" s="20">
        <f t="shared" si="20"/>
        <v>0</v>
      </c>
      <c r="K137" s="20">
        <f t="shared" si="20"/>
        <v>0</v>
      </c>
      <c r="L137" s="20">
        <f t="shared" si="20"/>
        <v>0</v>
      </c>
      <c r="M137" s="20">
        <f t="shared" si="20"/>
        <v>0</v>
      </c>
      <c r="N137" s="20">
        <f t="shared" si="20"/>
        <v>0</v>
      </c>
      <c r="O137" s="20">
        <f t="shared" si="20"/>
        <v>0</v>
      </c>
      <c r="P137" s="20">
        <f t="shared" si="20"/>
        <v>0</v>
      </c>
      <c r="Q137" s="20">
        <f>+Q135-Q136</f>
        <v>-78</v>
      </c>
      <c r="R137" s="20">
        <f>+R135-R136</f>
        <v>-162.38122000009753</v>
      </c>
      <c r="S137" s="7">
        <f>+R137-E137</f>
        <v>-162.06122000014875</v>
      </c>
    </row>
    <row r="138" ht="14.25">
      <c r="B138" s="173"/>
    </row>
    <row r="139" spans="7:8" ht="14.25">
      <c r="G139">
        <v>90332</v>
      </c>
      <c r="H139">
        <v>73022</v>
      </c>
    </row>
    <row r="141" spans="7:8" ht="14.25">
      <c r="G141">
        <v>160398</v>
      </c>
      <c r="H141">
        <v>165943</v>
      </c>
    </row>
    <row r="142" ht="14.25">
      <c r="B142" s="174"/>
    </row>
    <row r="143" ht="14.25">
      <c r="B143" s="174"/>
    </row>
    <row r="144" ht="14.25">
      <c r="B144" s="174"/>
    </row>
    <row r="145" ht="14.25">
      <c r="B145" s="174"/>
    </row>
    <row r="171" spans="1:19" s="7" customFormat="1" ht="14.25">
      <c r="A171"/>
      <c r="B171" s="174"/>
      <c r="D171" s="103"/>
      <c r="E171" s="103"/>
      <c r="F171" s="103"/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1:19" s="7" customFormat="1" ht="14.25">
      <c r="A172"/>
      <c r="B172" s="174"/>
      <c r="D172" s="103"/>
      <c r="E172" s="103"/>
      <c r="F172" s="103"/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1:19" s="7" customFormat="1" ht="14.25">
      <c r="A173"/>
      <c r="B173" s="174"/>
      <c r="D173" s="103"/>
      <c r="E173" s="103"/>
      <c r="F173" s="103"/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1:19" s="7" customFormat="1" ht="14.25">
      <c r="A174"/>
      <c r="B174" s="174"/>
      <c r="D174" s="103"/>
      <c r="E174" s="103"/>
      <c r="F174" s="103"/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1:19" s="7" customFormat="1" ht="14.25">
      <c r="A175"/>
      <c r="B175" s="174"/>
      <c r="D175" s="103"/>
      <c r="E175" s="103"/>
      <c r="F175" s="103"/>
      <c r="G175"/>
      <c r="H175"/>
      <c r="I175"/>
      <c r="J175"/>
      <c r="K175"/>
      <c r="L175"/>
      <c r="M175"/>
      <c r="N175"/>
      <c r="O175"/>
      <c r="P175"/>
      <c r="Q175"/>
      <c r="R175"/>
      <c r="S175"/>
    </row>
    <row r="176" spans="1:19" s="7" customFormat="1" ht="14.25">
      <c r="A176"/>
      <c r="B176" s="174"/>
      <c r="D176" s="103"/>
      <c r="E176" s="103"/>
      <c r="F176" s="103"/>
      <c r="G176"/>
      <c r="H176"/>
      <c r="I176"/>
      <c r="J176"/>
      <c r="K176"/>
      <c r="L176"/>
      <c r="M176"/>
      <c r="N176"/>
      <c r="O176"/>
      <c r="P176"/>
      <c r="Q176"/>
      <c r="R176"/>
      <c r="S176"/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scale="70" r:id="rId1"/>
  <headerFooter alignWithMargins="0">
    <oddFooter>&amp;L&amp;Z&amp;F&amp;R&amp;"Arial,Bold"Page&amp;P</oddFooter>
  </headerFooter>
  <rowBreaks count="2" manualBreakCount="2">
    <brk id="61" max="7" man="1"/>
    <brk id="118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177"/>
  <sheetViews>
    <sheetView view="pageBreakPreview" zoomScaleSheetLayoutView="100" zoomScalePageLayoutView="0" workbookViewId="0" topLeftCell="A1">
      <pane xSplit="1" ySplit="4" topLeftCell="B101" activePane="bottomRight" state="frozen"/>
      <selection pane="topLeft" activeCell="K112" sqref="K112"/>
      <selection pane="topRight" activeCell="K112" sqref="K112"/>
      <selection pane="bottomLeft" activeCell="K112" sqref="K112"/>
      <selection pane="bottomRight" activeCell="E92" sqref="E92"/>
    </sheetView>
  </sheetViews>
  <sheetFormatPr defaultColWidth="9.140625" defaultRowHeight="12.75"/>
  <cols>
    <col min="1" max="1" width="34.421875" style="0" customWidth="1"/>
    <col min="2" max="2" width="13.140625" style="3" customWidth="1"/>
    <col min="3" max="3" width="13.7109375" style="7" hidden="1" customWidth="1"/>
    <col min="4" max="6" width="13.7109375" style="103" customWidth="1"/>
    <col min="7" max="7" width="14.7109375" style="0" hidden="1" customWidth="1"/>
    <col min="8" max="8" width="13.7109375" style="0" hidden="1" customWidth="1"/>
    <col min="9" max="10" width="11.00390625" style="0" hidden="1" customWidth="1"/>
    <col min="11" max="11" width="12.421875" style="0" hidden="1" customWidth="1"/>
    <col min="12" max="12" width="11.7109375" style="0" hidden="1" customWidth="1"/>
    <col min="13" max="13" width="16.28125" style="0" hidden="1" customWidth="1"/>
    <col min="14" max="14" width="14.00390625" style="0" hidden="1" customWidth="1"/>
    <col min="15" max="15" width="13.28125" style="0" hidden="1" customWidth="1"/>
    <col min="16" max="16" width="11.7109375" style="0" hidden="1" customWidth="1"/>
    <col min="17" max="17" width="13.8515625" style="0" hidden="1" customWidth="1"/>
    <col min="18" max="18" width="13.28125" style="0" hidden="1" customWidth="1"/>
    <col min="19" max="19" width="10.57421875" style="0" hidden="1" customWidth="1"/>
  </cols>
  <sheetData>
    <row r="1" spans="1:3" ht="18">
      <c r="A1" s="1" t="s">
        <v>77</v>
      </c>
      <c r="B1" s="115"/>
      <c r="C1" s="62"/>
    </row>
    <row r="2" spans="1:5" ht="18.75" thickBot="1">
      <c r="A2" s="189" t="s">
        <v>209</v>
      </c>
      <c r="B2" s="190"/>
      <c r="C2" s="190"/>
      <c r="D2" s="190"/>
      <c r="E2" s="190"/>
    </row>
    <row r="3" spans="1:18" ht="18">
      <c r="A3" s="69"/>
      <c r="B3" s="104" t="s">
        <v>123</v>
      </c>
      <c r="C3" s="104" t="s">
        <v>105</v>
      </c>
      <c r="D3" s="104" t="s">
        <v>201</v>
      </c>
      <c r="E3" s="104" t="s">
        <v>202</v>
      </c>
      <c r="F3" s="118" t="s">
        <v>113</v>
      </c>
      <c r="G3" s="83" t="s">
        <v>63</v>
      </c>
      <c r="H3" s="76" t="s">
        <v>64</v>
      </c>
      <c r="I3" s="38" t="s">
        <v>66</v>
      </c>
      <c r="J3" s="6" t="s">
        <v>65</v>
      </c>
      <c r="K3" s="6" t="s">
        <v>67</v>
      </c>
      <c r="L3" s="6" t="s">
        <v>68</v>
      </c>
      <c r="M3" s="6" t="s">
        <v>69</v>
      </c>
      <c r="N3" s="6" t="s">
        <v>70</v>
      </c>
      <c r="O3" s="6" t="s">
        <v>71</v>
      </c>
      <c r="P3" s="6" t="s">
        <v>72</v>
      </c>
      <c r="Q3" s="6" t="s">
        <v>114</v>
      </c>
      <c r="R3" s="7"/>
    </row>
    <row r="4" spans="1:18" ht="18.75" thickBot="1">
      <c r="A4" s="2"/>
      <c r="B4" s="106" t="s">
        <v>179</v>
      </c>
      <c r="C4" s="106" t="s">
        <v>111</v>
      </c>
      <c r="D4" s="106" t="s">
        <v>188</v>
      </c>
      <c r="E4" s="106" t="s">
        <v>188</v>
      </c>
      <c r="F4" s="119" t="s">
        <v>112</v>
      </c>
      <c r="G4" s="84" t="s">
        <v>73</v>
      </c>
      <c r="H4" s="77" t="s">
        <v>74</v>
      </c>
      <c r="I4" s="39" t="s">
        <v>74</v>
      </c>
      <c r="J4" s="8" t="s">
        <v>74</v>
      </c>
      <c r="K4" s="8" t="s">
        <v>74</v>
      </c>
      <c r="L4" s="8" t="s">
        <v>75</v>
      </c>
      <c r="M4" s="8" t="s">
        <v>75</v>
      </c>
      <c r="N4" s="8" t="s">
        <v>75</v>
      </c>
      <c r="O4" s="8" t="s">
        <v>76</v>
      </c>
      <c r="P4" s="8" t="s">
        <v>74</v>
      </c>
      <c r="Q4" s="8" t="s">
        <v>75</v>
      </c>
      <c r="R4" s="9" t="s">
        <v>116</v>
      </c>
    </row>
    <row r="5" spans="1:18" ht="18.75" thickBot="1">
      <c r="A5" s="56" t="s">
        <v>0</v>
      </c>
      <c r="B5" s="120"/>
      <c r="C5" s="121"/>
      <c r="D5" s="120"/>
      <c r="E5" s="120"/>
      <c r="F5" s="123"/>
      <c r="G5" s="85"/>
      <c r="H5" s="78"/>
      <c r="I5" s="53"/>
      <c r="J5" s="54"/>
      <c r="K5" s="54"/>
      <c r="L5" s="54"/>
      <c r="M5" s="54"/>
      <c r="N5" s="54"/>
      <c r="O5" s="54"/>
      <c r="P5" s="54"/>
      <c r="Q5" s="54"/>
      <c r="R5" s="55"/>
    </row>
    <row r="6" spans="1:18" ht="15">
      <c r="A6" s="46" t="s">
        <v>1</v>
      </c>
      <c r="B6" s="91"/>
      <c r="C6" s="91"/>
      <c r="D6" s="91"/>
      <c r="E6" s="91"/>
      <c r="F6" s="125"/>
      <c r="G6" s="86"/>
      <c r="H6" s="79"/>
      <c r="I6" s="40"/>
      <c r="J6" s="40"/>
      <c r="K6" s="40"/>
      <c r="L6" s="40"/>
      <c r="M6" s="40"/>
      <c r="N6" s="40"/>
      <c r="O6" s="40"/>
      <c r="P6" s="40"/>
      <c r="Q6" s="40"/>
      <c r="R6" s="10"/>
    </row>
    <row r="7" spans="1:19" ht="15">
      <c r="A7" s="47" t="s">
        <v>2</v>
      </c>
      <c r="B7" s="68">
        <v>459500</v>
      </c>
      <c r="C7" s="63">
        <v>229750</v>
      </c>
      <c r="D7" s="68">
        <v>492000</v>
      </c>
      <c r="E7" s="68">
        <v>397859</v>
      </c>
      <c r="F7" s="127">
        <f>+E7-B7</f>
        <v>-61641</v>
      </c>
      <c r="G7" s="128">
        <v>108880</v>
      </c>
      <c r="H7" s="129">
        <v>76481</v>
      </c>
      <c r="I7" s="91"/>
      <c r="J7" s="68"/>
      <c r="K7" s="130"/>
      <c r="L7" s="68"/>
      <c r="M7" s="68"/>
      <c r="N7" s="68"/>
      <c r="O7" s="68"/>
      <c r="P7" s="68"/>
      <c r="Q7" s="68">
        <v>286462</v>
      </c>
      <c r="R7" s="11">
        <f aca="true" t="shared" si="0" ref="R7:R78">SUM(G7:Q7)</f>
        <v>471823</v>
      </c>
      <c r="S7" s="7">
        <f aca="true" t="shared" si="1" ref="S7:S62">+R7-E7</f>
        <v>73964</v>
      </c>
    </row>
    <row r="8" spans="1:19" ht="15">
      <c r="A8" s="47" t="s">
        <v>3</v>
      </c>
      <c r="B8" s="68">
        <v>35000</v>
      </c>
      <c r="C8" s="63">
        <v>16500</v>
      </c>
      <c r="D8" s="68">
        <v>40000</v>
      </c>
      <c r="E8" s="68">
        <v>28249</v>
      </c>
      <c r="F8" s="127">
        <f>+E8-B8</f>
        <v>-6751</v>
      </c>
      <c r="G8" s="128">
        <v>15000</v>
      </c>
      <c r="H8" s="129">
        <v>25000</v>
      </c>
      <c r="I8" s="91"/>
      <c r="J8" s="130"/>
      <c r="K8" s="130"/>
      <c r="L8" s="130"/>
      <c r="M8" s="130"/>
      <c r="N8" s="130"/>
      <c r="O8" s="130"/>
      <c r="P8" s="130"/>
      <c r="Q8" s="68"/>
      <c r="R8" s="7">
        <f t="shared" si="0"/>
        <v>40000</v>
      </c>
      <c r="S8" s="7">
        <f t="shared" si="1"/>
        <v>11751</v>
      </c>
    </row>
    <row r="9" spans="1:19" ht="15">
      <c r="A9" s="47" t="s">
        <v>4</v>
      </c>
      <c r="B9" s="109">
        <v>20050</v>
      </c>
      <c r="C9" s="63">
        <v>10026</v>
      </c>
      <c r="D9" s="109">
        <v>20050</v>
      </c>
      <c r="E9" s="109">
        <v>20050</v>
      </c>
      <c r="F9" s="127">
        <f>+E9-B9</f>
        <v>0</v>
      </c>
      <c r="G9" s="128"/>
      <c r="H9" s="129"/>
      <c r="I9" s="91"/>
      <c r="J9" s="130"/>
      <c r="K9" s="130"/>
      <c r="L9" s="68"/>
      <c r="M9" s="68"/>
      <c r="N9" s="68"/>
      <c r="O9" s="68"/>
      <c r="P9" s="130"/>
      <c r="Q9" s="68">
        <v>20050</v>
      </c>
      <c r="R9" s="7">
        <f t="shared" si="0"/>
        <v>20050</v>
      </c>
      <c r="S9" s="7">
        <f t="shared" si="1"/>
        <v>0</v>
      </c>
    </row>
    <row r="10" spans="1:19" ht="15">
      <c r="A10" s="47" t="s">
        <v>211</v>
      </c>
      <c r="B10" s="109">
        <v>0</v>
      </c>
      <c r="C10" s="63"/>
      <c r="D10" s="109">
        <v>0</v>
      </c>
      <c r="E10" s="109">
        <v>4000</v>
      </c>
      <c r="F10" s="127"/>
      <c r="G10" s="128"/>
      <c r="H10" s="129"/>
      <c r="I10" s="91"/>
      <c r="J10" s="130"/>
      <c r="K10" s="130"/>
      <c r="L10" s="68"/>
      <c r="M10" s="68"/>
      <c r="N10" s="68"/>
      <c r="O10" s="68"/>
      <c r="P10" s="130"/>
      <c r="Q10" s="68"/>
      <c r="R10" s="7"/>
      <c r="S10" s="7"/>
    </row>
    <row r="11" spans="1:19" ht="15">
      <c r="A11" s="4" t="s">
        <v>109</v>
      </c>
      <c r="B11" s="109">
        <v>5000</v>
      </c>
      <c r="C11" s="63"/>
      <c r="D11" s="109">
        <v>5000</v>
      </c>
      <c r="E11" s="109">
        <v>2000</v>
      </c>
      <c r="F11" s="127">
        <f>+E11-B11</f>
        <v>-3000</v>
      </c>
      <c r="G11" s="128"/>
      <c r="H11" s="129"/>
      <c r="I11" s="91"/>
      <c r="J11" s="130"/>
      <c r="K11" s="130"/>
      <c r="L11" s="130"/>
      <c r="M11" s="68"/>
      <c r="N11" s="68"/>
      <c r="O11" s="130"/>
      <c r="P11" s="130"/>
      <c r="Q11" s="68"/>
      <c r="R11" s="7">
        <f t="shared" si="0"/>
        <v>0</v>
      </c>
      <c r="S11" s="7">
        <f t="shared" si="1"/>
        <v>-2000</v>
      </c>
    </row>
    <row r="12" spans="1:19" ht="15">
      <c r="A12" s="4" t="s">
        <v>5</v>
      </c>
      <c r="B12" s="109">
        <v>12550</v>
      </c>
      <c r="C12" s="64">
        <v>6279</v>
      </c>
      <c r="D12" s="109">
        <v>12550</v>
      </c>
      <c r="E12" s="109">
        <v>12550</v>
      </c>
      <c r="F12" s="127">
        <f>+E12-B12</f>
        <v>0</v>
      </c>
      <c r="G12" s="128"/>
      <c r="H12" s="129"/>
      <c r="I12" s="91"/>
      <c r="J12" s="130"/>
      <c r="K12" s="130"/>
      <c r="L12" s="68"/>
      <c r="M12" s="68"/>
      <c r="N12" s="68"/>
      <c r="O12" s="68"/>
      <c r="P12" s="130"/>
      <c r="Q12" s="68">
        <v>12550</v>
      </c>
      <c r="R12" s="7">
        <f t="shared" si="0"/>
        <v>12550</v>
      </c>
      <c r="S12" s="7">
        <f t="shared" si="1"/>
        <v>0</v>
      </c>
    </row>
    <row r="13" spans="1:19" ht="15.75" thickBot="1">
      <c r="A13" s="4" t="s">
        <v>207</v>
      </c>
      <c r="B13" s="109"/>
      <c r="C13" s="126"/>
      <c r="D13" s="109"/>
      <c r="E13" s="109">
        <v>52417</v>
      </c>
      <c r="F13" s="127"/>
      <c r="G13" s="128"/>
      <c r="H13" s="129"/>
      <c r="I13" s="91"/>
      <c r="J13" s="130"/>
      <c r="K13" s="130"/>
      <c r="L13" s="68"/>
      <c r="M13" s="68"/>
      <c r="N13" s="68"/>
      <c r="O13" s="68"/>
      <c r="P13" s="130"/>
      <c r="Q13" s="68"/>
      <c r="R13" s="7"/>
      <c r="S13" s="7"/>
    </row>
    <row r="14" spans="1:19" ht="15.75" thickBot="1">
      <c r="A14" s="48" t="s">
        <v>6</v>
      </c>
      <c r="B14" s="110">
        <f>SUM(B7:B12)</f>
        <v>532100</v>
      </c>
      <c r="C14" s="43">
        <f>SUM(C7:C12)</f>
        <v>262555</v>
      </c>
      <c r="D14" s="110">
        <f>SUM(D7:D12)</f>
        <v>569600</v>
      </c>
      <c r="E14" s="110">
        <f>SUM(E7:E13)</f>
        <v>517125</v>
      </c>
      <c r="F14" s="132">
        <f aca="true" t="shared" si="2" ref="F14:Q14">SUM(F7:F12)</f>
        <v>-71392</v>
      </c>
      <c r="G14" s="133">
        <f t="shared" si="2"/>
        <v>123880</v>
      </c>
      <c r="H14" s="134">
        <f t="shared" si="2"/>
        <v>101481</v>
      </c>
      <c r="I14" s="135">
        <f t="shared" si="2"/>
        <v>0</v>
      </c>
      <c r="J14" s="136">
        <f t="shared" si="2"/>
        <v>0</v>
      </c>
      <c r="K14" s="136">
        <f t="shared" si="2"/>
        <v>0</v>
      </c>
      <c r="L14" s="136">
        <f t="shared" si="2"/>
        <v>0</v>
      </c>
      <c r="M14" s="136">
        <f t="shared" si="2"/>
        <v>0</v>
      </c>
      <c r="N14" s="136">
        <f t="shared" si="2"/>
        <v>0</v>
      </c>
      <c r="O14" s="136">
        <f t="shared" si="2"/>
        <v>0</v>
      </c>
      <c r="P14" s="136">
        <f t="shared" si="2"/>
        <v>0</v>
      </c>
      <c r="Q14" s="110">
        <f t="shared" si="2"/>
        <v>319062</v>
      </c>
      <c r="R14" s="12">
        <f t="shared" si="0"/>
        <v>544423</v>
      </c>
      <c r="S14" s="7">
        <f t="shared" si="1"/>
        <v>27298</v>
      </c>
    </row>
    <row r="15" spans="1:19" ht="15">
      <c r="A15" s="46" t="s">
        <v>7</v>
      </c>
      <c r="B15" s="91"/>
      <c r="C15" s="137"/>
      <c r="D15" s="91"/>
      <c r="E15" s="91"/>
      <c r="F15" s="125"/>
      <c r="G15" s="128"/>
      <c r="H15" s="129"/>
      <c r="I15" s="91"/>
      <c r="J15" s="91"/>
      <c r="K15" s="91"/>
      <c r="L15" s="91"/>
      <c r="M15" s="91"/>
      <c r="N15" s="91"/>
      <c r="O15" s="91"/>
      <c r="P15" s="91"/>
      <c r="Q15" s="91"/>
      <c r="R15" s="13">
        <f t="shared" si="0"/>
        <v>0</v>
      </c>
      <c r="S15" s="7">
        <f t="shared" si="1"/>
        <v>0</v>
      </c>
    </row>
    <row r="16" spans="1:19" ht="15">
      <c r="A16" s="46" t="s">
        <v>8</v>
      </c>
      <c r="B16" s="91"/>
      <c r="C16" s="137"/>
      <c r="D16" s="91"/>
      <c r="E16" s="91"/>
      <c r="F16" s="125"/>
      <c r="G16" s="128"/>
      <c r="H16" s="129"/>
      <c r="I16" s="91"/>
      <c r="J16" s="91"/>
      <c r="K16" s="91"/>
      <c r="L16" s="91"/>
      <c r="M16" s="91"/>
      <c r="N16" s="91"/>
      <c r="O16" s="91"/>
      <c r="P16" s="91"/>
      <c r="Q16" s="91"/>
      <c r="R16" s="13">
        <f t="shared" si="0"/>
        <v>0</v>
      </c>
      <c r="S16" s="7">
        <f t="shared" si="1"/>
        <v>0</v>
      </c>
    </row>
    <row r="17" spans="1:19" ht="15.75" thickBot="1">
      <c r="A17" s="46" t="s">
        <v>9</v>
      </c>
      <c r="B17" s="111"/>
      <c r="C17" s="138"/>
      <c r="D17" s="111"/>
      <c r="E17" s="111"/>
      <c r="F17" s="140"/>
      <c r="G17" s="141"/>
      <c r="H17" s="142"/>
      <c r="I17" s="111"/>
      <c r="J17" s="111"/>
      <c r="K17" s="111"/>
      <c r="L17" s="111"/>
      <c r="M17" s="111"/>
      <c r="N17" s="111"/>
      <c r="O17" s="111"/>
      <c r="P17" s="111"/>
      <c r="Q17" s="143"/>
      <c r="R17" s="14">
        <f t="shared" si="0"/>
        <v>0</v>
      </c>
      <c r="S17" s="7">
        <f t="shared" si="1"/>
        <v>0</v>
      </c>
    </row>
    <row r="18" spans="1:19" ht="15">
      <c r="A18" s="4" t="s">
        <v>99</v>
      </c>
      <c r="B18" s="109"/>
      <c r="C18" s="66"/>
      <c r="D18" s="109"/>
      <c r="E18" s="109"/>
      <c r="F18" s="127"/>
      <c r="G18" s="128"/>
      <c r="H18" s="129"/>
      <c r="I18" s="91"/>
      <c r="J18" s="130"/>
      <c r="K18" s="130"/>
      <c r="L18" s="130"/>
      <c r="M18" s="130"/>
      <c r="N18" s="130"/>
      <c r="O18" s="130"/>
      <c r="P18" s="130"/>
      <c r="Q18" s="68">
        <v>0</v>
      </c>
      <c r="R18" s="7">
        <f t="shared" si="0"/>
        <v>0</v>
      </c>
      <c r="S18" s="7">
        <f t="shared" si="1"/>
        <v>0</v>
      </c>
    </row>
    <row r="19" spans="1:19" ht="15">
      <c r="A19" s="4" t="s">
        <v>100</v>
      </c>
      <c r="B19" s="109"/>
      <c r="C19" s="64"/>
      <c r="D19" s="109"/>
      <c r="E19" s="109"/>
      <c r="F19" s="127">
        <f aca="true" t="shared" si="3" ref="F19:F24">+E19-D19</f>
        <v>0</v>
      </c>
      <c r="G19" s="128"/>
      <c r="H19" s="129"/>
      <c r="I19" s="91"/>
      <c r="J19" s="130"/>
      <c r="K19" s="130"/>
      <c r="L19" s="130"/>
      <c r="M19" s="130"/>
      <c r="N19" s="130"/>
      <c r="O19" s="130"/>
      <c r="P19" s="130"/>
      <c r="Q19" s="68">
        <f>+E19-G19-H19</f>
        <v>0</v>
      </c>
      <c r="R19" s="7">
        <f t="shared" si="0"/>
        <v>0</v>
      </c>
      <c r="S19" s="7">
        <f t="shared" si="1"/>
        <v>0</v>
      </c>
    </row>
    <row r="20" spans="1:19" ht="15">
      <c r="A20" s="4" t="s">
        <v>115</v>
      </c>
      <c r="B20" s="109"/>
      <c r="C20" s="64"/>
      <c r="D20" s="109"/>
      <c r="E20" s="109"/>
      <c r="F20" s="127">
        <f t="shared" si="3"/>
        <v>0</v>
      </c>
      <c r="G20" s="128"/>
      <c r="H20" s="129"/>
      <c r="I20" s="91"/>
      <c r="J20" s="130"/>
      <c r="K20" s="130"/>
      <c r="L20" s="130"/>
      <c r="M20" s="130"/>
      <c r="N20" s="130"/>
      <c r="O20" s="130"/>
      <c r="P20" s="130"/>
      <c r="Q20" s="68">
        <f>+E20-G20-H20</f>
        <v>0</v>
      </c>
      <c r="R20" s="7">
        <f t="shared" si="0"/>
        <v>0</v>
      </c>
      <c r="S20" s="7">
        <f t="shared" si="1"/>
        <v>0</v>
      </c>
    </row>
    <row r="21" spans="1:19" ht="15">
      <c r="A21" s="4" t="s">
        <v>101</v>
      </c>
      <c r="B21" s="109"/>
      <c r="C21" s="64"/>
      <c r="D21" s="109"/>
      <c r="E21" s="109"/>
      <c r="F21" s="127">
        <f t="shared" si="3"/>
        <v>0</v>
      </c>
      <c r="G21" s="128"/>
      <c r="H21" s="129"/>
      <c r="I21" s="91"/>
      <c r="J21" s="130"/>
      <c r="K21" s="130"/>
      <c r="L21" s="130"/>
      <c r="M21" s="130"/>
      <c r="N21" s="130"/>
      <c r="O21" s="130"/>
      <c r="P21" s="130"/>
      <c r="Q21" s="68">
        <f>+E21-G21-H21</f>
        <v>0</v>
      </c>
      <c r="R21" s="7">
        <f t="shared" si="0"/>
        <v>0</v>
      </c>
      <c r="S21" s="7">
        <f t="shared" si="1"/>
        <v>0</v>
      </c>
    </row>
    <row r="22" spans="1:19" ht="15">
      <c r="A22" s="4" t="s">
        <v>102</v>
      </c>
      <c r="B22" s="109"/>
      <c r="C22" s="64"/>
      <c r="D22" s="109"/>
      <c r="E22" s="109"/>
      <c r="F22" s="127">
        <f t="shared" si="3"/>
        <v>0</v>
      </c>
      <c r="G22" s="128"/>
      <c r="H22" s="129"/>
      <c r="I22" s="91"/>
      <c r="J22" s="130"/>
      <c r="K22" s="130"/>
      <c r="L22" s="130"/>
      <c r="M22" s="130"/>
      <c r="N22" s="130"/>
      <c r="O22" s="130"/>
      <c r="P22" s="130"/>
      <c r="Q22" s="68">
        <v>0</v>
      </c>
      <c r="R22" s="7">
        <f t="shared" si="0"/>
        <v>0</v>
      </c>
      <c r="S22" s="7">
        <f t="shared" si="1"/>
        <v>0</v>
      </c>
    </row>
    <row r="23" spans="1:19" ht="15">
      <c r="A23" s="4" t="s">
        <v>106</v>
      </c>
      <c r="B23" s="109"/>
      <c r="C23" s="64"/>
      <c r="D23" s="109"/>
      <c r="E23" s="109"/>
      <c r="F23" s="144">
        <f t="shared" si="3"/>
        <v>0</v>
      </c>
      <c r="G23" s="128"/>
      <c r="H23" s="129"/>
      <c r="I23" s="91"/>
      <c r="J23" s="130"/>
      <c r="K23" s="130"/>
      <c r="L23" s="130"/>
      <c r="M23" s="130"/>
      <c r="N23" s="130"/>
      <c r="O23" s="130"/>
      <c r="P23" s="130"/>
      <c r="Q23" s="68"/>
      <c r="R23" s="7"/>
      <c r="S23" s="7"/>
    </row>
    <row r="24" spans="1:19" ht="15">
      <c r="A24" s="4" t="s">
        <v>158</v>
      </c>
      <c r="B24" s="109"/>
      <c r="C24" s="64"/>
      <c r="D24" s="109"/>
      <c r="E24" s="109"/>
      <c r="F24" s="144">
        <f t="shared" si="3"/>
        <v>0</v>
      </c>
      <c r="G24" s="128"/>
      <c r="H24" s="129"/>
      <c r="I24" s="91"/>
      <c r="J24" s="130"/>
      <c r="K24" s="130"/>
      <c r="L24" s="130"/>
      <c r="M24" s="130"/>
      <c r="N24" s="130"/>
      <c r="O24" s="130"/>
      <c r="P24" s="130"/>
      <c r="Q24" s="68"/>
      <c r="R24" s="7"/>
      <c r="S24" s="7"/>
    </row>
    <row r="25" spans="1:19" ht="15.75" thickBot="1">
      <c r="A25" s="4" t="s">
        <v>103</v>
      </c>
      <c r="B25" s="109"/>
      <c r="C25" s="67"/>
      <c r="D25" s="109"/>
      <c r="E25" s="109"/>
      <c r="F25" s="127"/>
      <c r="G25" s="128"/>
      <c r="H25" s="129"/>
      <c r="I25" s="91"/>
      <c r="J25" s="130"/>
      <c r="K25" s="68"/>
      <c r="L25" s="130"/>
      <c r="M25" s="130"/>
      <c r="N25" s="130"/>
      <c r="O25" s="130"/>
      <c r="P25" s="130"/>
      <c r="Q25" s="68">
        <v>0</v>
      </c>
      <c r="R25" s="7">
        <f t="shared" si="0"/>
        <v>0</v>
      </c>
      <c r="S25" s="7">
        <f t="shared" si="1"/>
        <v>0</v>
      </c>
    </row>
    <row r="26" spans="1:19" ht="15.75" thickBot="1">
      <c r="A26" s="48" t="s">
        <v>6</v>
      </c>
      <c r="B26" s="43">
        <v>13000</v>
      </c>
      <c r="C26" s="43">
        <v>25478.06</v>
      </c>
      <c r="D26" s="43">
        <v>15000</v>
      </c>
      <c r="E26" s="43">
        <v>15000</v>
      </c>
      <c r="F26" s="132">
        <f>+E26-B26</f>
        <v>2000</v>
      </c>
      <c r="G26" s="133">
        <f aca="true" t="shared" si="4" ref="G26:P26">SUM(G17:G25)</f>
        <v>0</v>
      </c>
      <c r="H26" s="134">
        <f t="shared" si="4"/>
        <v>0</v>
      </c>
      <c r="I26" s="135">
        <f t="shared" si="4"/>
        <v>0</v>
      </c>
      <c r="J26" s="136">
        <f>SUM(J17:J25)</f>
        <v>0</v>
      </c>
      <c r="K26" s="136">
        <f t="shared" si="4"/>
        <v>0</v>
      </c>
      <c r="L26" s="136">
        <f t="shared" si="4"/>
        <v>0</v>
      </c>
      <c r="M26" s="136">
        <f t="shared" si="4"/>
        <v>0</v>
      </c>
      <c r="N26" s="136">
        <f t="shared" si="4"/>
        <v>0</v>
      </c>
      <c r="O26" s="136">
        <f t="shared" si="4"/>
        <v>0</v>
      </c>
      <c r="P26" s="136">
        <f t="shared" si="4"/>
        <v>0</v>
      </c>
      <c r="Q26" s="110">
        <v>13000</v>
      </c>
      <c r="R26" s="44">
        <f t="shared" si="0"/>
        <v>13000</v>
      </c>
      <c r="S26" s="7">
        <f t="shared" si="1"/>
        <v>-2000</v>
      </c>
    </row>
    <row r="27" spans="1:19" ht="15">
      <c r="A27" s="46" t="s">
        <v>10</v>
      </c>
      <c r="B27" s="91"/>
      <c r="C27" s="146"/>
      <c r="D27" s="91"/>
      <c r="E27" s="91"/>
      <c r="F27" s="125"/>
      <c r="G27" s="128"/>
      <c r="H27" s="129"/>
      <c r="I27" s="91"/>
      <c r="J27" s="91"/>
      <c r="K27" s="91"/>
      <c r="L27" s="91"/>
      <c r="M27" s="91"/>
      <c r="N27" s="91"/>
      <c r="O27" s="91"/>
      <c r="P27" s="91"/>
      <c r="Q27" s="91"/>
      <c r="R27" s="13">
        <f t="shared" si="0"/>
        <v>0</v>
      </c>
      <c r="S27" s="7">
        <f t="shared" si="1"/>
        <v>0</v>
      </c>
    </row>
    <row r="28" spans="1:19" ht="15">
      <c r="A28" s="4" t="s">
        <v>11</v>
      </c>
      <c r="B28" s="109">
        <v>49200</v>
      </c>
      <c r="C28" s="63">
        <v>24900</v>
      </c>
      <c r="D28" s="109">
        <v>60200</v>
      </c>
      <c r="E28" s="109">
        <v>45200</v>
      </c>
      <c r="F28" s="144">
        <f>+E28-B28</f>
        <v>-4000</v>
      </c>
      <c r="G28" s="109">
        <v>60200</v>
      </c>
      <c r="H28" s="129"/>
      <c r="I28" s="91"/>
      <c r="J28" s="130"/>
      <c r="K28" s="130"/>
      <c r="L28" s="130"/>
      <c r="M28" s="130"/>
      <c r="N28" s="130"/>
      <c r="O28" s="130"/>
      <c r="P28" s="130"/>
      <c r="Q28" s="68"/>
      <c r="R28" s="7">
        <f t="shared" si="0"/>
        <v>60200</v>
      </c>
      <c r="S28" s="7">
        <f t="shared" si="1"/>
        <v>15000</v>
      </c>
    </row>
    <row r="29" spans="1:19" ht="15">
      <c r="A29" s="4" t="s">
        <v>157</v>
      </c>
      <c r="B29" s="109">
        <v>7200</v>
      </c>
      <c r="C29" s="64">
        <v>1158.75</v>
      </c>
      <c r="D29" s="109">
        <v>6400</v>
      </c>
      <c r="E29" s="109">
        <v>20000</v>
      </c>
      <c r="F29" s="127">
        <f aca="true" t="shared" si="5" ref="F29:F46">+E29-B29</f>
        <v>12800</v>
      </c>
      <c r="G29" s="109">
        <v>6400</v>
      </c>
      <c r="H29" s="129"/>
      <c r="I29" s="91"/>
      <c r="J29" s="130"/>
      <c r="K29" s="130"/>
      <c r="L29" s="130"/>
      <c r="M29" s="130"/>
      <c r="N29" s="130"/>
      <c r="O29" s="130"/>
      <c r="P29" s="130"/>
      <c r="Q29" s="68"/>
      <c r="R29" s="7">
        <f t="shared" si="0"/>
        <v>6400</v>
      </c>
      <c r="S29" s="7"/>
    </row>
    <row r="30" spans="1:19" ht="15">
      <c r="A30" s="4" t="s">
        <v>212</v>
      </c>
      <c r="B30" s="109">
        <v>0</v>
      </c>
      <c r="C30" s="63">
        <v>0</v>
      </c>
      <c r="D30" s="109"/>
      <c r="E30" s="109">
        <v>7900</v>
      </c>
      <c r="F30" s="144">
        <f t="shared" si="5"/>
        <v>7900</v>
      </c>
      <c r="G30" s="109">
        <v>0</v>
      </c>
      <c r="H30" s="129"/>
      <c r="I30" s="91"/>
      <c r="J30" s="130"/>
      <c r="K30" s="130"/>
      <c r="L30" s="68"/>
      <c r="M30" s="68"/>
      <c r="N30" s="68"/>
      <c r="O30" s="68"/>
      <c r="P30" s="68"/>
      <c r="Q30" s="68"/>
      <c r="R30" s="7">
        <f t="shared" si="0"/>
        <v>0</v>
      </c>
      <c r="S30" s="7">
        <f t="shared" si="1"/>
        <v>-7900</v>
      </c>
    </row>
    <row r="31" spans="1:19" ht="15">
      <c r="A31" s="4" t="s">
        <v>170</v>
      </c>
      <c r="B31" s="109">
        <v>16000</v>
      </c>
      <c r="C31" s="63">
        <v>10834.5</v>
      </c>
      <c r="D31" s="109">
        <v>20000</v>
      </c>
      <c r="E31" s="109">
        <v>16500</v>
      </c>
      <c r="F31" s="144">
        <f t="shared" si="5"/>
        <v>500</v>
      </c>
      <c r="G31" s="128"/>
      <c r="H31" s="129"/>
      <c r="I31" s="91"/>
      <c r="J31" s="130"/>
      <c r="K31" s="130"/>
      <c r="L31" s="130"/>
      <c r="M31" s="130"/>
      <c r="N31" s="130"/>
      <c r="O31" s="130"/>
      <c r="P31" s="130"/>
      <c r="Q31" s="68">
        <v>16000</v>
      </c>
      <c r="R31" s="7">
        <f t="shared" si="0"/>
        <v>16000</v>
      </c>
      <c r="S31" s="7">
        <f t="shared" si="1"/>
        <v>-500</v>
      </c>
    </row>
    <row r="32" spans="1:19" ht="15">
      <c r="A32" s="4" t="s">
        <v>156</v>
      </c>
      <c r="B32" s="109">
        <v>2000</v>
      </c>
      <c r="C32" s="63">
        <v>333.5</v>
      </c>
      <c r="D32" s="109">
        <v>1000</v>
      </c>
      <c r="E32" s="109">
        <v>1000</v>
      </c>
      <c r="F32" s="144">
        <f t="shared" si="5"/>
        <v>-1000</v>
      </c>
      <c r="G32" s="128"/>
      <c r="H32" s="129"/>
      <c r="I32" s="91"/>
      <c r="J32" s="130"/>
      <c r="K32" s="130"/>
      <c r="L32" s="130"/>
      <c r="M32" s="130"/>
      <c r="N32" s="130"/>
      <c r="O32" s="130"/>
      <c r="P32" s="130"/>
      <c r="Q32" s="68">
        <v>2000</v>
      </c>
      <c r="R32" s="7">
        <f t="shared" si="0"/>
        <v>2000</v>
      </c>
      <c r="S32" s="7">
        <f t="shared" si="1"/>
        <v>1000</v>
      </c>
    </row>
    <row r="33" spans="1:19" ht="15">
      <c r="A33" s="4" t="s">
        <v>12</v>
      </c>
      <c r="B33" s="109">
        <v>1500</v>
      </c>
      <c r="C33" s="63">
        <v>703.98</v>
      </c>
      <c r="D33" s="109">
        <v>1500</v>
      </c>
      <c r="E33" s="109">
        <v>1500</v>
      </c>
      <c r="F33" s="144">
        <f t="shared" si="5"/>
        <v>0</v>
      </c>
      <c r="G33" s="128"/>
      <c r="H33" s="129"/>
      <c r="I33" s="91"/>
      <c r="J33" s="130"/>
      <c r="K33" s="130"/>
      <c r="L33" s="130"/>
      <c r="M33" s="130"/>
      <c r="N33" s="130"/>
      <c r="O33" s="130"/>
      <c r="P33" s="130"/>
      <c r="Q33" s="68">
        <v>1500</v>
      </c>
      <c r="R33" s="7">
        <f t="shared" si="0"/>
        <v>1500</v>
      </c>
      <c r="S33" s="7">
        <f t="shared" si="1"/>
        <v>0</v>
      </c>
    </row>
    <row r="34" spans="1:19" ht="15">
      <c r="A34" s="4" t="s">
        <v>104</v>
      </c>
      <c r="B34" s="109">
        <v>100</v>
      </c>
      <c r="C34" s="63">
        <v>1</v>
      </c>
      <c r="D34" s="109">
        <v>100</v>
      </c>
      <c r="E34" s="109">
        <v>100</v>
      </c>
      <c r="F34" s="144">
        <f t="shared" si="5"/>
        <v>0</v>
      </c>
      <c r="G34" s="128"/>
      <c r="H34" s="129"/>
      <c r="I34" s="91"/>
      <c r="J34" s="130"/>
      <c r="K34" s="130"/>
      <c r="L34" s="130"/>
      <c r="M34" s="130"/>
      <c r="N34" s="130"/>
      <c r="O34" s="130"/>
      <c r="P34" s="130"/>
      <c r="Q34" s="68">
        <v>100</v>
      </c>
      <c r="R34" s="7">
        <f t="shared" si="0"/>
        <v>100</v>
      </c>
      <c r="S34" s="7">
        <f t="shared" si="1"/>
        <v>0</v>
      </c>
    </row>
    <row r="35" spans="1:19" ht="15">
      <c r="A35" s="4" t="s">
        <v>13</v>
      </c>
      <c r="B35" s="109">
        <v>0</v>
      </c>
      <c r="C35" s="64">
        <v>0</v>
      </c>
      <c r="D35" s="109">
        <v>0</v>
      </c>
      <c r="E35" s="109">
        <v>0</v>
      </c>
      <c r="F35" s="144">
        <f t="shared" si="5"/>
        <v>0</v>
      </c>
      <c r="G35" s="128"/>
      <c r="H35" s="129"/>
      <c r="I35" s="91"/>
      <c r="J35" s="109"/>
      <c r="K35" s="130"/>
      <c r="L35" s="130"/>
      <c r="M35" s="130"/>
      <c r="N35" s="130"/>
      <c r="O35" s="130"/>
      <c r="P35" s="130"/>
      <c r="Q35" s="68"/>
      <c r="R35" s="7">
        <f t="shared" si="0"/>
        <v>0</v>
      </c>
      <c r="S35" s="7">
        <f t="shared" si="1"/>
        <v>0</v>
      </c>
    </row>
    <row r="36" spans="1:19" ht="15">
      <c r="A36" s="4" t="s">
        <v>14</v>
      </c>
      <c r="B36" s="109">
        <v>0</v>
      </c>
      <c r="C36" s="63">
        <v>0</v>
      </c>
      <c r="D36" s="109">
        <v>0</v>
      </c>
      <c r="E36" s="109">
        <v>0</v>
      </c>
      <c r="F36" s="144">
        <f t="shared" si="5"/>
        <v>0</v>
      </c>
      <c r="G36" s="128"/>
      <c r="H36" s="129"/>
      <c r="I36" s="91"/>
      <c r="J36" s="109"/>
      <c r="K36" s="130"/>
      <c r="L36" s="130"/>
      <c r="M36" s="130"/>
      <c r="N36" s="130"/>
      <c r="O36" s="130"/>
      <c r="P36" s="130"/>
      <c r="Q36" s="68"/>
      <c r="R36" s="7">
        <f t="shared" si="0"/>
        <v>0</v>
      </c>
      <c r="S36" s="7">
        <f t="shared" si="1"/>
        <v>0</v>
      </c>
    </row>
    <row r="37" spans="1:19" ht="15">
      <c r="A37" s="4" t="s">
        <v>15</v>
      </c>
      <c r="B37" s="109">
        <v>13750</v>
      </c>
      <c r="C37" s="63">
        <v>8808.6</v>
      </c>
      <c r="D37" s="109">
        <v>18000</v>
      </c>
      <c r="E37" s="109">
        <v>13500</v>
      </c>
      <c r="F37" s="144">
        <f t="shared" si="5"/>
        <v>-250</v>
      </c>
      <c r="G37" s="128"/>
      <c r="H37" s="129"/>
      <c r="I37" s="91"/>
      <c r="J37" s="109"/>
      <c r="K37" s="130"/>
      <c r="L37" s="130"/>
      <c r="M37" s="130"/>
      <c r="N37" s="130"/>
      <c r="O37" s="130"/>
      <c r="P37" s="130"/>
      <c r="Q37" s="68">
        <v>13750</v>
      </c>
      <c r="R37" s="7">
        <f t="shared" si="0"/>
        <v>13750</v>
      </c>
      <c r="S37" s="7">
        <f t="shared" si="1"/>
        <v>250</v>
      </c>
    </row>
    <row r="38" spans="1:19" ht="15">
      <c r="A38" s="4" t="s">
        <v>124</v>
      </c>
      <c r="B38" s="109">
        <v>0</v>
      </c>
      <c r="C38" s="63">
        <v>0</v>
      </c>
      <c r="D38" s="109">
        <v>0</v>
      </c>
      <c r="E38" s="109">
        <v>0</v>
      </c>
      <c r="F38" s="144">
        <f t="shared" si="5"/>
        <v>0</v>
      </c>
      <c r="G38" s="128"/>
      <c r="H38" s="129"/>
      <c r="I38" s="91"/>
      <c r="J38" s="109"/>
      <c r="K38" s="130"/>
      <c r="L38" s="130"/>
      <c r="M38" s="130"/>
      <c r="N38" s="130"/>
      <c r="O38" s="130"/>
      <c r="P38" s="130"/>
      <c r="Q38" s="68"/>
      <c r="R38" s="7">
        <f t="shared" si="0"/>
        <v>0</v>
      </c>
      <c r="S38" s="7">
        <f t="shared" si="1"/>
        <v>0</v>
      </c>
    </row>
    <row r="39" spans="1:19" ht="15">
      <c r="A39" s="4" t="s">
        <v>16</v>
      </c>
      <c r="B39" s="109">
        <v>1000</v>
      </c>
      <c r="C39" s="63">
        <v>945</v>
      </c>
      <c r="D39" s="109">
        <v>1200</v>
      </c>
      <c r="E39" s="109">
        <v>1200</v>
      </c>
      <c r="F39" s="144">
        <f t="shared" si="5"/>
        <v>200</v>
      </c>
      <c r="G39" s="128"/>
      <c r="H39" s="129"/>
      <c r="I39" s="91"/>
      <c r="J39" s="109"/>
      <c r="K39" s="130"/>
      <c r="L39" s="130"/>
      <c r="M39" s="130"/>
      <c r="N39" s="130"/>
      <c r="O39" s="130"/>
      <c r="P39" s="130"/>
      <c r="Q39" s="68">
        <v>1000</v>
      </c>
      <c r="R39" s="7">
        <f t="shared" si="0"/>
        <v>1000</v>
      </c>
      <c r="S39" s="7">
        <f t="shared" si="1"/>
        <v>-200</v>
      </c>
    </row>
    <row r="40" spans="1:19" ht="15">
      <c r="A40" s="4" t="s">
        <v>17</v>
      </c>
      <c r="B40" s="109">
        <v>58000</v>
      </c>
      <c r="C40" s="63">
        <v>30361.75</v>
      </c>
      <c r="D40" s="109">
        <v>66600</v>
      </c>
      <c r="E40" s="109">
        <v>50100</v>
      </c>
      <c r="F40" s="144">
        <f t="shared" si="5"/>
        <v>-7900</v>
      </c>
      <c r="G40" s="128"/>
      <c r="H40" s="129">
        <v>66600</v>
      </c>
      <c r="I40" s="91"/>
      <c r="J40" s="130"/>
      <c r="K40" s="130"/>
      <c r="L40" s="130"/>
      <c r="M40" s="130"/>
      <c r="N40" s="130"/>
      <c r="O40" s="130"/>
      <c r="P40" s="130"/>
      <c r="Q40" s="68"/>
      <c r="R40" s="7">
        <f t="shared" si="0"/>
        <v>66600</v>
      </c>
      <c r="S40" s="7">
        <f t="shared" si="1"/>
        <v>16500</v>
      </c>
    </row>
    <row r="41" spans="1:19" ht="15">
      <c r="A41" s="4" t="s">
        <v>18</v>
      </c>
      <c r="B41" s="109">
        <v>9600</v>
      </c>
      <c r="C41" s="63">
        <v>4590</v>
      </c>
      <c r="D41" s="109">
        <v>12000</v>
      </c>
      <c r="E41" s="109">
        <v>9000</v>
      </c>
      <c r="F41" s="144">
        <f t="shared" si="5"/>
        <v>-600</v>
      </c>
      <c r="G41" s="128"/>
      <c r="H41" s="129">
        <v>12000</v>
      </c>
      <c r="I41" s="91"/>
      <c r="J41" s="130"/>
      <c r="K41" s="130"/>
      <c r="L41" s="130"/>
      <c r="M41" s="130"/>
      <c r="N41" s="130"/>
      <c r="O41" s="130"/>
      <c r="P41" s="130"/>
      <c r="Q41" s="68"/>
      <c r="R41" s="7">
        <f t="shared" si="0"/>
        <v>12000</v>
      </c>
      <c r="S41" s="7">
        <f t="shared" si="1"/>
        <v>3000</v>
      </c>
    </row>
    <row r="42" spans="1:19" ht="15">
      <c r="A42" s="4" t="s">
        <v>122</v>
      </c>
      <c r="B42" s="109"/>
      <c r="C42" s="63">
        <v>0</v>
      </c>
      <c r="D42" s="109">
        <v>0</v>
      </c>
      <c r="E42" s="109"/>
      <c r="F42" s="144">
        <f t="shared" si="5"/>
        <v>0</v>
      </c>
      <c r="G42" s="128"/>
      <c r="H42" s="129"/>
      <c r="I42" s="91"/>
      <c r="J42" s="130"/>
      <c r="K42" s="130"/>
      <c r="L42" s="130"/>
      <c r="M42" s="130"/>
      <c r="N42" s="130"/>
      <c r="O42" s="130"/>
      <c r="P42" s="130"/>
      <c r="Q42" s="68"/>
      <c r="R42" s="7">
        <f t="shared" si="0"/>
        <v>0</v>
      </c>
      <c r="S42" s="7">
        <f t="shared" si="1"/>
        <v>0</v>
      </c>
    </row>
    <row r="43" spans="1:19" ht="15">
      <c r="A43" s="4" t="s">
        <v>125</v>
      </c>
      <c r="B43" s="109">
        <v>15900</v>
      </c>
      <c r="C43" s="63">
        <v>6840.76</v>
      </c>
      <c r="D43" s="109">
        <v>15000</v>
      </c>
      <c r="E43" s="109">
        <v>11250</v>
      </c>
      <c r="F43" s="144">
        <f t="shared" si="5"/>
        <v>-4650</v>
      </c>
      <c r="G43" s="128"/>
      <c r="H43" s="129"/>
      <c r="I43" s="91"/>
      <c r="J43" s="130"/>
      <c r="K43" s="130"/>
      <c r="L43" s="130"/>
      <c r="M43" s="130"/>
      <c r="N43" s="130"/>
      <c r="O43" s="130"/>
      <c r="P43" s="130"/>
      <c r="Q43" s="68">
        <v>15900</v>
      </c>
      <c r="R43" s="7">
        <f t="shared" si="0"/>
        <v>15900</v>
      </c>
      <c r="S43" s="7">
        <f t="shared" si="1"/>
        <v>4650</v>
      </c>
    </row>
    <row r="44" spans="1:19" ht="15">
      <c r="A44" s="4" t="s">
        <v>108</v>
      </c>
      <c r="B44" s="109">
        <v>1385</v>
      </c>
      <c r="C44" s="64">
        <v>290.35</v>
      </c>
      <c r="D44" s="109">
        <v>500</v>
      </c>
      <c r="E44" s="109">
        <v>500</v>
      </c>
      <c r="F44" s="144">
        <f t="shared" si="5"/>
        <v>-885</v>
      </c>
      <c r="G44" s="128"/>
      <c r="H44" s="129"/>
      <c r="I44" s="91"/>
      <c r="J44" s="130"/>
      <c r="K44" s="130"/>
      <c r="L44" s="130"/>
      <c r="M44" s="130"/>
      <c r="N44" s="130"/>
      <c r="O44" s="130"/>
      <c r="P44" s="130"/>
      <c r="Q44" s="68">
        <v>1385</v>
      </c>
      <c r="R44" s="7">
        <f t="shared" si="0"/>
        <v>1385</v>
      </c>
      <c r="S44" s="7">
        <f t="shared" si="1"/>
        <v>885</v>
      </c>
    </row>
    <row r="45" spans="1:19" ht="15">
      <c r="A45" s="4" t="s">
        <v>19</v>
      </c>
      <c r="B45" s="109">
        <v>1000</v>
      </c>
      <c r="C45" s="64">
        <v>970.5</v>
      </c>
      <c r="D45" s="109">
        <v>1500</v>
      </c>
      <c r="E45" s="109">
        <v>1500</v>
      </c>
      <c r="F45" s="144">
        <f t="shared" si="5"/>
        <v>500</v>
      </c>
      <c r="G45" s="128"/>
      <c r="H45" s="129"/>
      <c r="I45" s="91"/>
      <c r="J45" s="130"/>
      <c r="K45" s="130"/>
      <c r="L45" s="130"/>
      <c r="M45" s="130"/>
      <c r="N45" s="130"/>
      <c r="O45" s="130"/>
      <c r="P45" s="68"/>
      <c r="Q45" s="68">
        <v>1000</v>
      </c>
      <c r="R45" s="7">
        <f t="shared" si="0"/>
        <v>1000</v>
      </c>
      <c r="S45" s="7">
        <f t="shared" si="1"/>
        <v>-500</v>
      </c>
    </row>
    <row r="46" spans="1:19" ht="15.75" thickBot="1">
      <c r="A46" s="4" t="s">
        <v>126</v>
      </c>
      <c r="B46" s="112">
        <v>2000</v>
      </c>
      <c r="C46" s="147">
        <v>210.96</v>
      </c>
      <c r="D46" s="112">
        <v>2000</v>
      </c>
      <c r="E46" s="112">
        <v>2000</v>
      </c>
      <c r="F46" s="144">
        <f t="shared" si="5"/>
        <v>0</v>
      </c>
      <c r="G46" s="141"/>
      <c r="H46" s="142"/>
      <c r="I46" s="111"/>
      <c r="J46" s="148"/>
      <c r="K46" s="148"/>
      <c r="L46" s="148"/>
      <c r="M46" s="148"/>
      <c r="N46" s="148"/>
      <c r="O46" s="148"/>
      <c r="P46" s="148"/>
      <c r="Q46" s="68">
        <v>2000</v>
      </c>
      <c r="R46" s="16">
        <f t="shared" si="0"/>
        <v>2000</v>
      </c>
      <c r="S46" s="7">
        <f t="shared" si="1"/>
        <v>0</v>
      </c>
    </row>
    <row r="47" spans="1:19" ht="15.75" thickBot="1">
      <c r="A47" s="48" t="s">
        <v>6</v>
      </c>
      <c r="B47" s="110">
        <f>SUM(B28:B46)</f>
        <v>178635</v>
      </c>
      <c r="C47" s="43">
        <f aca="true" t="shared" si="6" ref="C47:Q47">SUM(C28:C46)</f>
        <v>90949.65000000001</v>
      </c>
      <c r="D47" s="110">
        <f t="shared" si="6"/>
        <v>206000</v>
      </c>
      <c r="E47" s="110">
        <f t="shared" si="6"/>
        <v>181250</v>
      </c>
      <c r="F47" s="132">
        <f t="shared" si="6"/>
        <v>2615</v>
      </c>
      <c r="G47" s="133">
        <f t="shared" si="6"/>
        <v>66600</v>
      </c>
      <c r="H47" s="134">
        <f t="shared" si="6"/>
        <v>78600</v>
      </c>
      <c r="I47" s="135">
        <f t="shared" si="6"/>
        <v>0</v>
      </c>
      <c r="J47" s="136">
        <f t="shared" si="6"/>
        <v>0</v>
      </c>
      <c r="K47" s="136">
        <f t="shared" si="6"/>
        <v>0</v>
      </c>
      <c r="L47" s="136">
        <f t="shared" si="6"/>
        <v>0</v>
      </c>
      <c r="M47" s="136">
        <f t="shared" si="6"/>
        <v>0</v>
      </c>
      <c r="N47" s="136">
        <f t="shared" si="6"/>
        <v>0</v>
      </c>
      <c r="O47" s="136">
        <f t="shared" si="6"/>
        <v>0</v>
      </c>
      <c r="P47" s="136">
        <f t="shared" si="6"/>
        <v>0</v>
      </c>
      <c r="Q47" s="110">
        <f t="shared" si="6"/>
        <v>54635</v>
      </c>
      <c r="R47" s="12">
        <f t="shared" si="0"/>
        <v>199835</v>
      </c>
      <c r="S47" s="7">
        <f t="shared" si="1"/>
        <v>18585</v>
      </c>
    </row>
    <row r="48" spans="1:19" ht="15">
      <c r="A48" s="46" t="s">
        <v>20</v>
      </c>
      <c r="B48" s="91"/>
      <c r="C48" s="137"/>
      <c r="D48" s="91"/>
      <c r="E48" s="91"/>
      <c r="F48" s="125"/>
      <c r="G48" s="128"/>
      <c r="H48" s="129"/>
      <c r="I48" s="91"/>
      <c r="J48" s="91"/>
      <c r="K48" s="91"/>
      <c r="L48" s="91"/>
      <c r="M48" s="91"/>
      <c r="N48" s="91"/>
      <c r="O48" s="91"/>
      <c r="P48" s="91"/>
      <c r="Q48" s="91"/>
      <c r="R48" s="13">
        <f t="shared" si="0"/>
        <v>0</v>
      </c>
      <c r="S48" s="7">
        <f t="shared" si="1"/>
        <v>0</v>
      </c>
    </row>
    <row r="49" spans="1:19" ht="15">
      <c r="A49" s="5" t="s">
        <v>21</v>
      </c>
      <c r="B49" s="109"/>
      <c r="C49" s="109"/>
      <c r="D49" s="109"/>
      <c r="E49" s="109"/>
      <c r="F49" s="144">
        <f>+E49-D49</f>
        <v>0</v>
      </c>
      <c r="G49" s="128"/>
      <c r="H49" s="129"/>
      <c r="I49" s="91"/>
      <c r="J49" s="130"/>
      <c r="K49" s="130"/>
      <c r="L49" s="130"/>
      <c r="M49" s="130"/>
      <c r="N49" s="130"/>
      <c r="O49" s="130"/>
      <c r="P49" s="130"/>
      <c r="Q49" s="68"/>
      <c r="R49" s="7">
        <f t="shared" si="0"/>
        <v>0</v>
      </c>
      <c r="S49" s="7">
        <f t="shared" si="1"/>
        <v>0</v>
      </c>
    </row>
    <row r="50" spans="1:19" ht="15">
      <c r="A50" s="5" t="s">
        <v>153</v>
      </c>
      <c r="B50" s="109"/>
      <c r="C50" s="109"/>
      <c r="D50" s="109"/>
      <c r="E50" s="109"/>
      <c r="F50" s="144">
        <f>+E50-D50</f>
        <v>0</v>
      </c>
      <c r="G50" s="128"/>
      <c r="H50" s="129"/>
      <c r="I50" s="91"/>
      <c r="J50" s="130"/>
      <c r="K50" s="130"/>
      <c r="L50" s="130"/>
      <c r="M50" s="130"/>
      <c r="N50" s="130"/>
      <c r="O50" s="130"/>
      <c r="P50" s="130"/>
      <c r="Q50" s="68"/>
      <c r="R50" s="7">
        <f t="shared" si="0"/>
        <v>0</v>
      </c>
      <c r="S50" s="7">
        <f t="shared" si="1"/>
        <v>0</v>
      </c>
    </row>
    <row r="51" spans="1:19" ht="15">
      <c r="A51" s="5" t="s">
        <v>22</v>
      </c>
      <c r="B51" s="109"/>
      <c r="C51" s="109"/>
      <c r="D51" s="109"/>
      <c r="E51" s="109"/>
      <c r="F51" s="144">
        <f>+E51-D51</f>
        <v>0</v>
      </c>
      <c r="G51" s="128"/>
      <c r="H51" s="129"/>
      <c r="I51" s="91"/>
      <c r="J51" s="130"/>
      <c r="K51" s="130"/>
      <c r="L51" s="130"/>
      <c r="M51" s="130"/>
      <c r="N51" s="130"/>
      <c r="O51" s="130"/>
      <c r="P51" s="130"/>
      <c r="Q51" s="68"/>
      <c r="R51" s="7">
        <f t="shared" si="0"/>
        <v>0</v>
      </c>
      <c r="S51" s="7">
        <f t="shared" si="1"/>
        <v>0</v>
      </c>
    </row>
    <row r="52" spans="1:19" ht="15.75" thickBot="1">
      <c r="A52" s="5" t="s">
        <v>169</v>
      </c>
      <c r="B52" s="109">
        <v>15000</v>
      </c>
      <c r="C52" s="149">
        <v>639</v>
      </c>
      <c r="D52" s="109"/>
      <c r="E52" s="109"/>
      <c r="F52" s="144"/>
      <c r="G52" s="128"/>
      <c r="H52" s="129"/>
      <c r="I52" s="91"/>
      <c r="J52" s="130"/>
      <c r="K52" s="130"/>
      <c r="L52" s="130"/>
      <c r="M52" s="130"/>
      <c r="N52" s="130"/>
      <c r="O52" s="130"/>
      <c r="P52" s="130"/>
      <c r="Q52" s="68">
        <v>15000</v>
      </c>
      <c r="R52" s="7">
        <f t="shared" si="0"/>
        <v>15000</v>
      </c>
      <c r="S52" s="7">
        <f t="shared" si="1"/>
        <v>15000</v>
      </c>
    </row>
    <row r="53" spans="1:19" ht="15.75" thickBot="1">
      <c r="A53" s="48" t="s">
        <v>6</v>
      </c>
      <c r="B53" s="110">
        <f>SUM(B49:B52)</f>
        <v>15000</v>
      </c>
      <c r="C53" s="43">
        <f aca="true" t="shared" si="7" ref="C53:Q53">SUM(C49:C52)</f>
        <v>639</v>
      </c>
      <c r="D53" s="110">
        <v>15000</v>
      </c>
      <c r="E53" s="110">
        <v>15000</v>
      </c>
      <c r="F53" s="132">
        <f>SUM(F49:F52)</f>
        <v>0</v>
      </c>
      <c r="G53" s="133">
        <f t="shared" si="7"/>
        <v>0</v>
      </c>
      <c r="H53" s="134">
        <f t="shared" si="7"/>
        <v>0</v>
      </c>
      <c r="I53" s="135">
        <f t="shared" si="7"/>
        <v>0</v>
      </c>
      <c r="J53" s="136">
        <f>SUM(J49:J52)</f>
        <v>0</v>
      </c>
      <c r="K53" s="136">
        <f t="shared" si="7"/>
        <v>0</v>
      </c>
      <c r="L53" s="136">
        <f t="shared" si="7"/>
        <v>0</v>
      </c>
      <c r="M53" s="136">
        <f t="shared" si="7"/>
        <v>0</v>
      </c>
      <c r="N53" s="136">
        <f t="shared" si="7"/>
        <v>0</v>
      </c>
      <c r="O53" s="136">
        <f t="shared" si="7"/>
        <v>0</v>
      </c>
      <c r="P53" s="136">
        <f t="shared" si="7"/>
        <v>0</v>
      </c>
      <c r="Q53" s="110">
        <f t="shared" si="7"/>
        <v>15000</v>
      </c>
      <c r="R53" s="12">
        <f t="shared" si="0"/>
        <v>15000</v>
      </c>
      <c r="S53" s="7">
        <f t="shared" si="1"/>
        <v>0</v>
      </c>
    </row>
    <row r="54" spans="1:19" ht="15">
      <c r="A54" s="46" t="s">
        <v>23</v>
      </c>
      <c r="B54" s="91"/>
      <c r="C54" s="146"/>
      <c r="D54" s="91"/>
      <c r="E54" s="91"/>
      <c r="F54" s="125"/>
      <c r="G54" s="128"/>
      <c r="H54" s="129"/>
      <c r="I54" s="91"/>
      <c r="J54" s="91"/>
      <c r="K54" s="91"/>
      <c r="L54" s="91"/>
      <c r="M54" s="91"/>
      <c r="N54" s="91"/>
      <c r="O54" s="91"/>
      <c r="P54" s="91"/>
      <c r="Q54" s="91"/>
      <c r="R54" s="13">
        <f t="shared" si="0"/>
        <v>0</v>
      </c>
      <c r="S54" s="7">
        <f t="shared" si="1"/>
        <v>0</v>
      </c>
    </row>
    <row r="55" spans="1:19" ht="15">
      <c r="A55" s="4" t="s">
        <v>106</v>
      </c>
      <c r="B55" s="109">
        <v>0</v>
      </c>
      <c r="C55" s="64">
        <v>0</v>
      </c>
      <c r="D55" s="109">
        <v>0</v>
      </c>
      <c r="E55" s="109">
        <v>0</v>
      </c>
      <c r="F55" s="144"/>
      <c r="G55" s="128"/>
      <c r="H55" s="129"/>
      <c r="I55" s="91"/>
      <c r="J55" s="130"/>
      <c r="K55" s="130"/>
      <c r="L55" s="130"/>
      <c r="M55" s="130"/>
      <c r="N55" s="130"/>
      <c r="O55" s="130"/>
      <c r="P55" s="130"/>
      <c r="Q55" s="68">
        <v>0</v>
      </c>
      <c r="R55" s="7"/>
      <c r="S55" s="7">
        <f t="shared" si="1"/>
        <v>0</v>
      </c>
    </row>
    <row r="56" spans="1:19" ht="15">
      <c r="A56" s="4" t="s">
        <v>107</v>
      </c>
      <c r="B56" s="109">
        <v>0</v>
      </c>
      <c r="C56" s="64">
        <v>0</v>
      </c>
      <c r="D56" s="109">
        <v>6650</v>
      </c>
      <c r="E56" s="109">
        <v>1723</v>
      </c>
      <c r="F56" s="144">
        <f>+E56-D56</f>
        <v>-4927</v>
      </c>
      <c r="G56" s="128"/>
      <c r="H56" s="129"/>
      <c r="I56" s="91"/>
      <c r="J56" s="130"/>
      <c r="K56" s="130"/>
      <c r="L56" s="130"/>
      <c r="M56" s="130"/>
      <c r="N56" s="130"/>
      <c r="O56" s="130"/>
      <c r="P56" s="130"/>
      <c r="Q56" s="68">
        <f>+E56-G56-H56</f>
        <v>1723</v>
      </c>
      <c r="R56" s="7">
        <f>SUM(G56:Q56)</f>
        <v>1723</v>
      </c>
      <c r="S56" s="7">
        <f t="shared" si="1"/>
        <v>0</v>
      </c>
    </row>
    <row r="57" spans="1:19" ht="15">
      <c r="A57" s="4" t="s">
        <v>24</v>
      </c>
      <c r="B57" s="109">
        <v>0</v>
      </c>
      <c r="C57" s="64">
        <v>1010.4</v>
      </c>
      <c r="D57" s="109">
        <v>1173</v>
      </c>
      <c r="E57" s="109"/>
      <c r="F57" s="144">
        <f>+E57-D57</f>
        <v>-1173</v>
      </c>
      <c r="G57" s="128"/>
      <c r="H57" s="129"/>
      <c r="I57" s="91"/>
      <c r="J57" s="130"/>
      <c r="K57" s="130"/>
      <c r="L57" s="130"/>
      <c r="M57" s="130"/>
      <c r="N57" s="130"/>
      <c r="O57" s="130"/>
      <c r="P57" s="130"/>
      <c r="Q57" s="68">
        <f>+E57-G57-H57</f>
        <v>0</v>
      </c>
      <c r="R57" s="7">
        <f t="shared" si="0"/>
        <v>0</v>
      </c>
      <c r="S57" s="7">
        <f t="shared" si="1"/>
        <v>0</v>
      </c>
    </row>
    <row r="58" spans="1:19" ht="15">
      <c r="A58" s="4" t="s">
        <v>25</v>
      </c>
      <c r="B58" s="109">
        <v>0</v>
      </c>
      <c r="C58" s="64">
        <v>150</v>
      </c>
      <c r="D58" s="109">
        <v>100</v>
      </c>
      <c r="E58" s="109">
        <v>100</v>
      </c>
      <c r="F58" s="144">
        <f>+E58-D58</f>
        <v>0</v>
      </c>
      <c r="G58" s="128"/>
      <c r="H58" s="129"/>
      <c r="I58" s="91"/>
      <c r="J58" s="130"/>
      <c r="K58" s="130"/>
      <c r="L58" s="130"/>
      <c r="M58" s="130"/>
      <c r="N58" s="130"/>
      <c r="O58" s="130"/>
      <c r="P58" s="130"/>
      <c r="Q58" s="68"/>
      <c r="R58" s="7">
        <f t="shared" si="0"/>
        <v>0</v>
      </c>
      <c r="S58" s="7">
        <f t="shared" si="1"/>
        <v>-100</v>
      </c>
    </row>
    <row r="59" spans="1:19" ht="15.75" thickBot="1">
      <c r="A59" s="4" t="s">
        <v>26</v>
      </c>
      <c r="B59" s="112">
        <v>10630</v>
      </c>
      <c r="C59" s="65">
        <v>5002</v>
      </c>
      <c r="D59" s="112">
        <v>10000</v>
      </c>
      <c r="E59" s="112">
        <v>8000</v>
      </c>
      <c r="F59" s="144">
        <f>+E59-B59</f>
        <v>-2630</v>
      </c>
      <c r="G59" s="141"/>
      <c r="H59" s="142"/>
      <c r="I59" s="111"/>
      <c r="J59" s="148"/>
      <c r="K59" s="148"/>
      <c r="L59" s="148"/>
      <c r="M59" s="148"/>
      <c r="N59" s="148"/>
      <c r="O59" s="148"/>
      <c r="P59" s="148"/>
      <c r="Q59" s="68">
        <v>10630</v>
      </c>
      <c r="R59" s="16">
        <f t="shared" si="0"/>
        <v>10630</v>
      </c>
      <c r="S59" s="7">
        <f t="shared" si="1"/>
        <v>2630</v>
      </c>
    </row>
    <row r="60" spans="1:19" ht="15.75" thickBot="1">
      <c r="A60" s="48" t="s">
        <v>6</v>
      </c>
      <c r="B60" s="110">
        <f>SUM(B54:B59)</f>
        <v>10630</v>
      </c>
      <c r="C60" s="43">
        <f aca="true" t="shared" si="8" ref="C60:Q60">SUM(C54:C59)</f>
        <v>6162.4</v>
      </c>
      <c r="D60" s="110">
        <f>SUM(D54:D59)</f>
        <v>17923</v>
      </c>
      <c r="E60" s="110">
        <f>SUM(E54:E59)</f>
        <v>9823</v>
      </c>
      <c r="F60" s="132">
        <f>SUM(F54:F59)</f>
        <v>-8730</v>
      </c>
      <c r="G60" s="133">
        <f t="shared" si="8"/>
        <v>0</v>
      </c>
      <c r="H60" s="134">
        <f t="shared" si="8"/>
        <v>0</v>
      </c>
      <c r="I60" s="135">
        <f t="shared" si="8"/>
        <v>0</v>
      </c>
      <c r="J60" s="136">
        <f>SUM(J54:J59)</f>
        <v>0</v>
      </c>
      <c r="K60" s="136">
        <f t="shared" si="8"/>
        <v>0</v>
      </c>
      <c r="L60" s="136">
        <f t="shared" si="8"/>
        <v>0</v>
      </c>
      <c r="M60" s="136">
        <f t="shared" si="8"/>
        <v>0</v>
      </c>
      <c r="N60" s="136">
        <f t="shared" si="8"/>
        <v>0</v>
      </c>
      <c r="O60" s="136">
        <f t="shared" si="8"/>
        <v>0</v>
      </c>
      <c r="P60" s="136">
        <f t="shared" si="8"/>
        <v>0</v>
      </c>
      <c r="Q60" s="110">
        <f t="shared" si="8"/>
        <v>12353</v>
      </c>
      <c r="R60" s="12">
        <f t="shared" si="0"/>
        <v>12353</v>
      </c>
      <c r="S60" s="7">
        <f t="shared" si="1"/>
        <v>2530</v>
      </c>
    </row>
    <row r="61" spans="1:19" ht="16.5" thickBot="1">
      <c r="A61" s="49" t="s">
        <v>27</v>
      </c>
      <c r="B61" s="113">
        <f>B14+B26+B47+B53+B60</f>
        <v>749365</v>
      </c>
      <c r="C61" s="98">
        <f aca="true" t="shared" si="9" ref="C61:Q61">C14+C26+C47+C53+C60</f>
        <v>385784.11000000004</v>
      </c>
      <c r="D61" s="113">
        <f t="shared" si="9"/>
        <v>823523</v>
      </c>
      <c r="E61" s="113">
        <f t="shared" si="9"/>
        <v>738198</v>
      </c>
      <c r="F61" s="151">
        <f t="shared" si="9"/>
        <v>-75507</v>
      </c>
      <c r="G61" s="152">
        <f t="shared" si="9"/>
        <v>190480</v>
      </c>
      <c r="H61" s="153">
        <f t="shared" si="9"/>
        <v>180081</v>
      </c>
      <c r="I61" s="154">
        <f t="shared" si="9"/>
        <v>0</v>
      </c>
      <c r="J61" s="155">
        <f t="shared" si="9"/>
        <v>0</v>
      </c>
      <c r="K61" s="155">
        <f t="shared" si="9"/>
        <v>0</v>
      </c>
      <c r="L61" s="155">
        <f t="shared" si="9"/>
        <v>0</v>
      </c>
      <c r="M61" s="155">
        <f t="shared" si="9"/>
        <v>0</v>
      </c>
      <c r="N61" s="155">
        <f t="shared" si="9"/>
        <v>0</v>
      </c>
      <c r="O61" s="155">
        <f t="shared" si="9"/>
        <v>0</v>
      </c>
      <c r="P61" s="155">
        <f t="shared" si="9"/>
        <v>0</v>
      </c>
      <c r="Q61" s="155">
        <f t="shared" si="9"/>
        <v>414050</v>
      </c>
      <c r="R61" s="17">
        <f t="shared" si="0"/>
        <v>784611</v>
      </c>
      <c r="S61" s="7">
        <f t="shared" si="1"/>
        <v>46413</v>
      </c>
    </row>
    <row r="62" spans="1:19" ht="17.25" thickBot="1" thickTop="1">
      <c r="A62" s="70"/>
      <c r="B62" s="99"/>
      <c r="C62" s="99"/>
      <c r="D62" s="99"/>
      <c r="E62" s="99"/>
      <c r="F62" s="99"/>
      <c r="G62" s="157"/>
      <c r="H62" s="129"/>
      <c r="I62" s="91"/>
      <c r="J62" s="68"/>
      <c r="K62" s="68"/>
      <c r="L62" s="68"/>
      <c r="M62" s="68"/>
      <c r="N62" s="68"/>
      <c r="O62" s="68"/>
      <c r="P62" s="68"/>
      <c r="Q62" s="68"/>
      <c r="R62" s="7">
        <f t="shared" si="0"/>
        <v>0</v>
      </c>
      <c r="S62" s="7">
        <f t="shared" si="1"/>
        <v>0</v>
      </c>
    </row>
    <row r="63" spans="1:19" ht="18">
      <c r="A63" s="75"/>
      <c r="B63" s="104" t="s">
        <v>61</v>
      </c>
      <c r="C63" s="158" t="s">
        <v>105</v>
      </c>
      <c r="D63" s="104" t="s">
        <v>201</v>
      </c>
      <c r="E63" s="104" t="s">
        <v>61</v>
      </c>
      <c r="F63" s="118" t="s">
        <v>113</v>
      </c>
      <c r="G63" s="83" t="s">
        <v>63</v>
      </c>
      <c r="H63" s="76" t="s">
        <v>64</v>
      </c>
      <c r="I63" s="38" t="s">
        <v>66</v>
      </c>
      <c r="J63" s="6" t="s">
        <v>65</v>
      </c>
      <c r="K63" s="6" t="s">
        <v>67</v>
      </c>
      <c r="L63" s="6" t="s">
        <v>68</v>
      </c>
      <c r="M63" s="6" t="s">
        <v>69</v>
      </c>
      <c r="N63" s="6" t="s">
        <v>70</v>
      </c>
      <c r="O63" s="6" t="s">
        <v>71</v>
      </c>
      <c r="P63" s="6" t="s">
        <v>72</v>
      </c>
      <c r="Q63" s="6" t="s">
        <v>114</v>
      </c>
      <c r="R63" s="7"/>
      <c r="S63" s="7"/>
    </row>
    <row r="64" spans="1:19" ht="18.75" thickBot="1">
      <c r="A64" s="50"/>
      <c r="B64" s="106" t="str">
        <f>+B4</f>
        <v>2019-2020</v>
      </c>
      <c r="C64" s="106" t="str">
        <f>+C4</f>
        <v>Jul-Dec</v>
      </c>
      <c r="D64" s="106" t="str">
        <f>+D4</f>
        <v>2020-2021</v>
      </c>
      <c r="E64" s="106" t="str">
        <f>+E4</f>
        <v>2020-2021</v>
      </c>
      <c r="F64" s="159" t="s">
        <v>112</v>
      </c>
      <c r="G64" s="97" t="s">
        <v>73</v>
      </c>
      <c r="H64" s="77" t="s">
        <v>74</v>
      </c>
      <c r="I64" s="39" t="s">
        <v>74</v>
      </c>
      <c r="J64" s="8" t="s">
        <v>74</v>
      </c>
      <c r="K64" s="8" t="s">
        <v>74</v>
      </c>
      <c r="L64" s="8" t="s">
        <v>75</v>
      </c>
      <c r="M64" s="8" t="s">
        <v>75</v>
      </c>
      <c r="N64" s="8" t="s">
        <v>75</v>
      </c>
      <c r="O64" s="8" t="s">
        <v>76</v>
      </c>
      <c r="P64" s="8" t="s">
        <v>74</v>
      </c>
      <c r="Q64" s="8" t="s">
        <v>75</v>
      </c>
      <c r="R64" s="9" t="s">
        <v>62</v>
      </c>
      <c r="S64" s="7"/>
    </row>
    <row r="65" spans="1:19" ht="18.75" thickBot="1">
      <c r="A65" s="71" t="s">
        <v>28</v>
      </c>
      <c r="B65" s="104"/>
      <c r="C65" s="121"/>
      <c r="D65" s="104"/>
      <c r="E65" s="104"/>
      <c r="F65" s="123"/>
      <c r="G65" s="85"/>
      <c r="H65" s="78"/>
      <c r="I65" s="53"/>
      <c r="J65" s="54"/>
      <c r="K65" s="54"/>
      <c r="L65" s="54"/>
      <c r="M65" s="54"/>
      <c r="N65" s="54"/>
      <c r="O65" s="54"/>
      <c r="P65" s="54"/>
      <c r="Q65" s="54"/>
      <c r="R65" s="55"/>
      <c r="S65" s="7"/>
    </row>
    <row r="66" spans="1:19" ht="15">
      <c r="A66" s="46" t="s">
        <v>29</v>
      </c>
      <c r="B66" s="91"/>
      <c r="C66" s="91"/>
      <c r="D66" s="91"/>
      <c r="E66" s="91"/>
      <c r="F66" s="125"/>
      <c r="G66" s="128"/>
      <c r="H66" s="129"/>
      <c r="I66" s="91"/>
      <c r="J66" s="91"/>
      <c r="K66" s="91"/>
      <c r="L66" s="91"/>
      <c r="M66" s="91"/>
      <c r="N66" s="91"/>
      <c r="O66" s="91"/>
      <c r="P66" s="91"/>
      <c r="Q66" s="91"/>
      <c r="R66" s="13">
        <f t="shared" si="0"/>
        <v>0</v>
      </c>
      <c r="S66" s="7">
        <f aca="true" t="shared" si="10" ref="S66:S131">+R66-E66</f>
        <v>0</v>
      </c>
    </row>
    <row r="67" spans="1:19" ht="15">
      <c r="A67" s="4" t="s">
        <v>150</v>
      </c>
      <c r="B67" s="109">
        <v>1000</v>
      </c>
      <c r="C67" s="64">
        <v>130.56</v>
      </c>
      <c r="D67" s="109">
        <v>1000</v>
      </c>
      <c r="E67" s="109">
        <v>1000</v>
      </c>
      <c r="F67" s="144">
        <f aca="true" t="shared" si="11" ref="F67:F130">+E67-B67</f>
        <v>0</v>
      </c>
      <c r="G67" s="128">
        <f>+E67*0.0814</f>
        <v>81.4</v>
      </c>
      <c r="H67" s="129">
        <f>+E67*0.1212</f>
        <v>121.2</v>
      </c>
      <c r="I67" s="91"/>
      <c r="J67" s="130"/>
      <c r="K67" s="130"/>
      <c r="L67" s="130"/>
      <c r="M67" s="130"/>
      <c r="N67" s="130"/>
      <c r="O67" s="130"/>
      <c r="P67" s="109"/>
      <c r="Q67" s="68">
        <v>794</v>
      </c>
      <c r="R67" s="13">
        <f t="shared" si="0"/>
        <v>996.6</v>
      </c>
      <c r="S67" s="7">
        <f t="shared" si="10"/>
        <v>-3.3999999999999773</v>
      </c>
    </row>
    <row r="68" spans="1:19" ht="15">
      <c r="A68" s="4" t="s">
        <v>151</v>
      </c>
      <c r="B68" s="109">
        <v>2700</v>
      </c>
      <c r="C68" s="64">
        <v>0</v>
      </c>
      <c r="D68" s="109">
        <v>2800</v>
      </c>
      <c r="E68" s="109">
        <v>2800</v>
      </c>
      <c r="F68" s="144">
        <f t="shared" si="11"/>
        <v>100</v>
      </c>
      <c r="G68" s="128">
        <f aca="true" t="shared" si="12" ref="G68:G82">+E68*0.0814</f>
        <v>227.92</v>
      </c>
      <c r="H68" s="129">
        <f aca="true" t="shared" si="13" ref="H68:H83">+E68*0.1212</f>
        <v>339.36</v>
      </c>
      <c r="I68" s="91"/>
      <c r="J68" s="130"/>
      <c r="K68" s="130"/>
      <c r="L68" s="130"/>
      <c r="M68" s="130"/>
      <c r="N68" s="130"/>
      <c r="O68" s="130"/>
      <c r="P68" s="109"/>
      <c r="Q68" s="68">
        <v>2143</v>
      </c>
      <c r="R68" s="13">
        <f t="shared" si="0"/>
        <v>2710.2799999999997</v>
      </c>
      <c r="S68" s="7">
        <f t="shared" si="10"/>
        <v>-89.72000000000025</v>
      </c>
    </row>
    <row r="69" spans="1:19" ht="15">
      <c r="A69" s="4" t="s">
        <v>152</v>
      </c>
      <c r="B69" s="109">
        <v>1000</v>
      </c>
      <c r="C69" s="64">
        <v>86.41</v>
      </c>
      <c r="D69" s="109">
        <v>500</v>
      </c>
      <c r="E69" s="109">
        <v>500</v>
      </c>
      <c r="F69" s="144">
        <f t="shared" si="11"/>
        <v>-500</v>
      </c>
      <c r="G69" s="128">
        <f t="shared" si="12"/>
        <v>40.7</v>
      </c>
      <c r="H69" s="129">
        <f t="shared" si="13"/>
        <v>60.6</v>
      </c>
      <c r="I69" s="91"/>
      <c r="J69" s="130"/>
      <c r="K69" s="130"/>
      <c r="L69" s="130"/>
      <c r="M69" s="130"/>
      <c r="N69" s="130"/>
      <c r="O69" s="130"/>
      <c r="P69" s="109"/>
      <c r="Q69" s="68">
        <v>794</v>
      </c>
      <c r="R69" s="13">
        <f t="shared" si="0"/>
        <v>895.3</v>
      </c>
      <c r="S69" s="7">
        <f t="shared" si="10"/>
        <v>395.29999999999995</v>
      </c>
    </row>
    <row r="70" spans="1:19" ht="15">
      <c r="A70" s="46" t="s">
        <v>30</v>
      </c>
      <c r="B70" s="91"/>
      <c r="C70" s="90"/>
      <c r="D70" s="91"/>
      <c r="E70" s="91"/>
      <c r="F70" s="160">
        <f t="shared" si="11"/>
        <v>0</v>
      </c>
      <c r="G70" s="128">
        <f t="shared" si="12"/>
        <v>0</v>
      </c>
      <c r="H70" s="129">
        <f t="shared" si="13"/>
        <v>0</v>
      </c>
      <c r="I70" s="91"/>
      <c r="J70" s="91"/>
      <c r="K70" s="91"/>
      <c r="L70" s="91"/>
      <c r="M70" s="91"/>
      <c r="N70" s="91"/>
      <c r="O70" s="91"/>
      <c r="P70" s="91"/>
      <c r="Q70" s="91"/>
      <c r="R70" s="13">
        <f t="shared" si="0"/>
        <v>0</v>
      </c>
      <c r="S70" s="7">
        <f t="shared" si="10"/>
        <v>0</v>
      </c>
    </row>
    <row r="71" spans="1:19" ht="15">
      <c r="A71" s="46" t="s">
        <v>31</v>
      </c>
      <c r="B71" s="91"/>
      <c r="C71" s="91"/>
      <c r="D71" s="91"/>
      <c r="E71" s="91"/>
      <c r="F71" s="125">
        <f t="shared" si="11"/>
        <v>0</v>
      </c>
      <c r="G71" s="128">
        <f t="shared" si="12"/>
        <v>0</v>
      </c>
      <c r="H71" s="129">
        <f t="shared" si="13"/>
        <v>0</v>
      </c>
      <c r="I71" s="91"/>
      <c r="J71" s="91"/>
      <c r="K71" s="91"/>
      <c r="L71" s="91"/>
      <c r="M71" s="91"/>
      <c r="N71" s="91"/>
      <c r="O71" s="91"/>
      <c r="P71" s="91"/>
      <c r="Q71" s="91"/>
      <c r="R71" s="13">
        <f t="shared" si="0"/>
        <v>0</v>
      </c>
      <c r="S71" s="7">
        <f t="shared" si="10"/>
        <v>0</v>
      </c>
    </row>
    <row r="72" spans="1:19" ht="15">
      <c r="A72" s="46" t="s">
        <v>32</v>
      </c>
      <c r="B72" s="91"/>
      <c r="C72" s="91"/>
      <c r="D72" s="91"/>
      <c r="E72" s="91"/>
      <c r="F72" s="125">
        <f t="shared" si="11"/>
        <v>0</v>
      </c>
      <c r="G72" s="128">
        <f t="shared" si="12"/>
        <v>0</v>
      </c>
      <c r="H72" s="129">
        <f t="shared" si="13"/>
        <v>0</v>
      </c>
      <c r="I72" s="91"/>
      <c r="J72" s="91"/>
      <c r="K72" s="91"/>
      <c r="L72" s="91"/>
      <c r="M72" s="91"/>
      <c r="N72" s="91"/>
      <c r="O72" s="91"/>
      <c r="P72" s="91"/>
      <c r="Q72" s="91"/>
      <c r="R72" s="13">
        <f t="shared" si="0"/>
        <v>0</v>
      </c>
      <c r="S72" s="7">
        <f t="shared" si="10"/>
        <v>0</v>
      </c>
    </row>
    <row r="73" spans="1:19" ht="15">
      <c r="A73" s="4" t="s">
        <v>172</v>
      </c>
      <c r="B73" s="109">
        <v>2500</v>
      </c>
      <c r="C73" s="64">
        <v>0</v>
      </c>
      <c r="D73" s="109">
        <v>0</v>
      </c>
      <c r="E73" s="109">
        <v>0</v>
      </c>
      <c r="F73" s="144">
        <f t="shared" si="11"/>
        <v>-2500</v>
      </c>
      <c r="G73" s="128">
        <f t="shared" si="12"/>
        <v>0</v>
      </c>
      <c r="H73" s="129">
        <f t="shared" si="13"/>
        <v>0</v>
      </c>
      <c r="I73" s="91"/>
      <c r="J73" s="109"/>
      <c r="K73" s="130"/>
      <c r="L73" s="109"/>
      <c r="M73" s="109"/>
      <c r="N73" s="109"/>
      <c r="O73" s="109"/>
      <c r="P73" s="68"/>
      <c r="Q73" s="68">
        <v>1985</v>
      </c>
      <c r="R73" s="13">
        <f t="shared" si="0"/>
        <v>1985</v>
      </c>
      <c r="S73" s="7">
        <f t="shared" si="10"/>
        <v>1985</v>
      </c>
    </row>
    <row r="74" spans="1:19" ht="15">
      <c r="A74" s="4" t="s">
        <v>117</v>
      </c>
      <c r="B74" s="109">
        <v>1100</v>
      </c>
      <c r="C74" s="64">
        <v>557.88</v>
      </c>
      <c r="D74" s="109">
        <v>1100</v>
      </c>
      <c r="E74" s="109">
        <v>1100</v>
      </c>
      <c r="F74" s="144">
        <f t="shared" si="11"/>
        <v>0</v>
      </c>
      <c r="G74" s="128">
        <f t="shared" si="12"/>
        <v>89.54</v>
      </c>
      <c r="H74" s="129">
        <f t="shared" si="13"/>
        <v>133.32</v>
      </c>
      <c r="I74" s="91"/>
      <c r="J74" s="109"/>
      <c r="K74" s="130"/>
      <c r="L74" s="109"/>
      <c r="M74" s="109"/>
      <c r="N74" s="109"/>
      <c r="O74" s="109"/>
      <c r="P74" s="68"/>
      <c r="Q74" s="68">
        <v>873</v>
      </c>
      <c r="R74" s="13">
        <f t="shared" si="0"/>
        <v>1095.8600000000001</v>
      </c>
      <c r="S74" s="7">
        <f t="shared" si="10"/>
        <v>-4.139999999999873</v>
      </c>
    </row>
    <row r="75" spans="1:19" ht="15">
      <c r="A75" s="4" t="s">
        <v>121</v>
      </c>
      <c r="B75" s="109">
        <v>1200</v>
      </c>
      <c r="C75" s="63">
        <v>429.89</v>
      </c>
      <c r="D75" s="109">
        <v>1000</v>
      </c>
      <c r="E75" s="109">
        <v>1000</v>
      </c>
      <c r="F75" s="144">
        <f t="shared" si="11"/>
        <v>-200</v>
      </c>
      <c r="G75" s="128">
        <f t="shared" si="12"/>
        <v>81.4</v>
      </c>
      <c r="H75" s="129">
        <f t="shared" si="13"/>
        <v>121.2</v>
      </c>
      <c r="I75" s="91"/>
      <c r="J75" s="109"/>
      <c r="K75" s="130"/>
      <c r="L75" s="109"/>
      <c r="M75" s="109"/>
      <c r="N75" s="109"/>
      <c r="O75" s="109"/>
      <c r="P75" s="68"/>
      <c r="Q75" s="68">
        <v>953</v>
      </c>
      <c r="R75" s="13">
        <f t="shared" si="0"/>
        <v>1155.6</v>
      </c>
      <c r="S75" s="7">
        <f t="shared" si="10"/>
        <v>155.5999999999999</v>
      </c>
    </row>
    <row r="76" spans="1:19" ht="15">
      <c r="A76" s="4" t="s">
        <v>33</v>
      </c>
      <c r="B76" s="109">
        <v>1000</v>
      </c>
      <c r="C76" s="63">
        <v>145</v>
      </c>
      <c r="D76" s="109">
        <v>500</v>
      </c>
      <c r="E76" s="109">
        <v>500</v>
      </c>
      <c r="F76" s="144">
        <f t="shared" si="11"/>
        <v>-500</v>
      </c>
      <c r="G76" s="128">
        <f t="shared" si="12"/>
        <v>40.7</v>
      </c>
      <c r="H76" s="129">
        <f t="shared" si="13"/>
        <v>60.6</v>
      </c>
      <c r="I76" s="91"/>
      <c r="J76" s="130"/>
      <c r="K76" s="130"/>
      <c r="L76" s="130"/>
      <c r="M76" s="130"/>
      <c r="N76" s="130"/>
      <c r="O76" s="130"/>
      <c r="P76" s="130"/>
      <c r="Q76" s="68">
        <v>794</v>
      </c>
      <c r="R76" s="13">
        <f t="shared" si="0"/>
        <v>895.3</v>
      </c>
      <c r="S76" s="7">
        <f t="shared" si="10"/>
        <v>395.29999999999995</v>
      </c>
    </row>
    <row r="77" spans="1:19" ht="15">
      <c r="A77" s="4" t="s">
        <v>34</v>
      </c>
      <c r="B77" s="109">
        <v>2500</v>
      </c>
      <c r="C77" s="68">
        <v>1216.44</v>
      </c>
      <c r="D77" s="109">
        <v>2500</v>
      </c>
      <c r="E77" s="109">
        <v>2500</v>
      </c>
      <c r="F77" s="144">
        <f t="shared" si="11"/>
        <v>0</v>
      </c>
      <c r="G77" s="128">
        <f t="shared" si="12"/>
        <v>203.5</v>
      </c>
      <c r="H77" s="129">
        <f t="shared" si="13"/>
        <v>303</v>
      </c>
      <c r="I77" s="91"/>
      <c r="J77" s="109"/>
      <c r="K77" s="130"/>
      <c r="L77" s="109"/>
      <c r="M77" s="109"/>
      <c r="N77" s="109"/>
      <c r="O77" s="109"/>
      <c r="P77" s="68"/>
      <c r="Q77" s="68">
        <v>1985</v>
      </c>
      <c r="R77" s="13">
        <f t="shared" si="0"/>
        <v>2491.5</v>
      </c>
      <c r="S77" s="7">
        <f t="shared" si="10"/>
        <v>-8.5</v>
      </c>
    </row>
    <row r="78" spans="1:19" ht="15">
      <c r="A78" s="46" t="s">
        <v>35</v>
      </c>
      <c r="B78" s="91"/>
      <c r="C78" s="90"/>
      <c r="D78" s="91"/>
      <c r="E78" s="91"/>
      <c r="F78" s="125">
        <f t="shared" si="11"/>
        <v>0</v>
      </c>
      <c r="G78" s="128">
        <f t="shared" si="12"/>
        <v>0</v>
      </c>
      <c r="H78" s="129">
        <f t="shared" si="13"/>
        <v>0</v>
      </c>
      <c r="I78" s="91"/>
      <c r="J78" s="91"/>
      <c r="K78" s="91"/>
      <c r="L78" s="91"/>
      <c r="M78" s="91"/>
      <c r="N78" s="91"/>
      <c r="O78" s="91"/>
      <c r="P78" s="91"/>
      <c r="Q78" s="91"/>
      <c r="R78" s="13">
        <f t="shared" si="0"/>
        <v>0</v>
      </c>
      <c r="S78" s="7">
        <f t="shared" si="10"/>
        <v>0</v>
      </c>
    </row>
    <row r="79" spans="1:19" ht="15">
      <c r="A79" s="4" t="s">
        <v>36</v>
      </c>
      <c r="B79" s="109">
        <v>38400</v>
      </c>
      <c r="C79" s="63">
        <v>19200</v>
      </c>
      <c r="D79" s="109">
        <v>38400</v>
      </c>
      <c r="E79" s="109">
        <v>38400</v>
      </c>
      <c r="F79" s="144">
        <f t="shared" si="11"/>
        <v>0</v>
      </c>
      <c r="G79" s="128">
        <f t="shared" si="12"/>
        <v>3125.76</v>
      </c>
      <c r="H79" s="129">
        <f t="shared" si="13"/>
        <v>4654.08</v>
      </c>
      <c r="I79" s="91"/>
      <c r="J79" s="68"/>
      <c r="K79" s="130"/>
      <c r="L79" s="109"/>
      <c r="M79" s="109"/>
      <c r="N79" s="109"/>
      <c r="O79" s="109"/>
      <c r="P79" s="130"/>
      <c r="Q79" s="68">
        <v>30482</v>
      </c>
      <c r="R79" s="13">
        <f aca="true" t="shared" si="14" ref="R79:R132">SUM(G79:Q79)</f>
        <v>38261.84</v>
      </c>
      <c r="S79" s="7">
        <f t="shared" si="10"/>
        <v>-138.1600000000035</v>
      </c>
    </row>
    <row r="80" spans="1:19" ht="15">
      <c r="A80" s="4" t="s">
        <v>37</v>
      </c>
      <c r="B80" s="109">
        <v>1600</v>
      </c>
      <c r="C80" s="68">
        <v>600</v>
      </c>
      <c r="D80" s="109">
        <v>1300</v>
      </c>
      <c r="E80" s="109">
        <v>1300</v>
      </c>
      <c r="F80" s="144">
        <f t="shared" si="11"/>
        <v>-300</v>
      </c>
      <c r="G80" s="128">
        <f t="shared" si="12"/>
        <v>105.82</v>
      </c>
      <c r="H80" s="129">
        <f t="shared" si="13"/>
        <v>157.56</v>
      </c>
      <c r="I80" s="91"/>
      <c r="J80" s="68"/>
      <c r="K80" s="130"/>
      <c r="L80" s="109"/>
      <c r="M80" s="109"/>
      <c r="N80" s="109"/>
      <c r="O80" s="109"/>
      <c r="P80" s="130"/>
      <c r="Q80" s="68">
        <v>1270</v>
      </c>
      <c r="R80" s="13">
        <f t="shared" si="14"/>
        <v>1533.38</v>
      </c>
      <c r="S80" s="7">
        <f t="shared" si="10"/>
        <v>233.3800000000001</v>
      </c>
    </row>
    <row r="81" spans="1:19" ht="15">
      <c r="A81" s="46" t="s">
        <v>38</v>
      </c>
      <c r="B81" s="91"/>
      <c r="C81" s="90"/>
      <c r="D81" s="91"/>
      <c r="E81" s="91"/>
      <c r="F81" s="125">
        <f t="shared" si="11"/>
        <v>0</v>
      </c>
      <c r="G81" s="128">
        <f t="shared" si="12"/>
        <v>0</v>
      </c>
      <c r="H81" s="129">
        <f t="shared" si="13"/>
        <v>0</v>
      </c>
      <c r="I81" s="91"/>
      <c r="J81" s="91"/>
      <c r="K81" s="91"/>
      <c r="L81" s="91"/>
      <c r="M81" s="91"/>
      <c r="N81" s="91"/>
      <c r="O81" s="91"/>
      <c r="P81" s="91"/>
      <c r="Q81" s="91"/>
      <c r="R81" s="13">
        <f t="shared" si="14"/>
        <v>0</v>
      </c>
      <c r="S81" s="7">
        <f t="shared" si="10"/>
        <v>0</v>
      </c>
    </row>
    <row r="82" spans="1:19" ht="15">
      <c r="A82" s="4" t="s">
        <v>127</v>
      </c>
      <c r="B82" s="109">
        <v>11000</v>
      </c>
      <c r="C82" s="68">
        <v>7828.6</v>
      </c>
      <c r="D82" s="109">
        <v>14400</v>
      </c>
      <c r="E82" s="109">
        <v>14400</v>
      </c>
      <c r="F82" s="144">
        <f t="shared" si="11"/>
        <v>3400</v>
      </c>
      <c r="G82" s="128">
        <f t="shared" si="12"/>
        <v>1172.16</v>
      </c>
      <c r="H82" s="129">
        <f t="shared" si="13"/>
        <v>1745.28</v>
      </c>
      <c r="I82" s="91"/>
      <c r="J82" s="109"/>
      <c r="K82" s="130"/>
      <c r="L82" s="130"/>
      <c r="M82" s="130"/>
      <c r="N82" s="130"/>
      <c r="O82" s="130"/>
      <c r="P82" s="130"/>
      <c r="Q82" s="68">
        <v>8732</v>
      </c>
      <c r="R82" s="13">
        <f t="shared" si="14"/>
        <v>11649.44</v>
      </c>
      <c r="S82" s="7">
        <f t="shared" si="10"/>
        <v>-2750.5599999999995</v>
      </c>
    </row>
    <row r="83" spans="1:19" ht="15">
      <c r="A83" s="46" t="s">
        <v>39</v>
      </c>
      <c r="B83" s="91"/>
      <c r="C83" s="90"/>
      <c r="D83" s="91"/>
      <c r="E83" s="91"/>
      <c r="F83" s="125">
        <f t="shared" si="11"/>
        <v>0</v>
      </c>
      <c r="G83" s="128">
        <f>+E83*0.0861</f>
        <v>0</v>
      </c>
      <c r="H83" s="129">
        <f t="shared" si="13"/>
        <v>0</v>
      </c>
      <c r="I83" s="91"/>
      <c r="J83" s="91"/>
      <c r="K83" s="91"/>
      <c r="L83" s="91"/>
      <c r="M83" s="91"/>
      <c r="N83" s="91"/>
      <c r="O83" s="91"/>
      <c r="P83" s="91"/>
      <c r="Q83" s="91"/>
      <c r="R83" s="13">
        <f t="shared" si="14"/>
        <v>0</v>
      </c>
      <c r="S83" s="7">
        <f t="shared" si="10"/>
        <v>0</v>
      </c>
    </row>
    <row r="84" spans="1:19" ht="15">
      <c r="A84" s="51" t="s">
        <v>128</v>
      </c>
      <c r="B84" s="68">
        <v>418145</v>
      </c>
      <c r="C84" s="64">
        <v>164459.896</v>
      </c>
      <c r="D84" s="68">
        <v>495958.83999999997</v>
      </c>
      <c r="E84" s="68">
        <v>444967</v>
      </c>
      <c r="F84" s="144">
        <f t="shared" si="11"/>
        <v>26822</v>
      </c>
      <c r="G84" s="128">
        <f>+ADC!E20</f>
        <v>139596.6</v>
      </c>
      <c r="H84" s="129">
        <f>+Nutrition!E17</f>
        <v>94462.16</v>
      </c>
      <c r="I84" s="91"/>
      <c r="J84" s="161"/>
      <c r="K84" s="130"/>
      <c r="L84" s="68"/>
      <c r="M84" s="68"/>
      <c r="N84" s="68"/>
      <c r="O84" s="68"/>
      <c r="P84" s="68"/>
      <c r="Q84" s="68">
        <v>206669</v>
      </c>
      <c r="R84" s="13">
        <f t="shared" si="14"/>
        <v>440727.76</v>
      </c>
      <c r="S84" s="7">
        <f t="shared" si="10"/>
        <v>-4239.239999999991</v>
      </c>
    </row>
    <row r="85" spans="1:19" ht="15">
      <c r="A85" s="51" t="s">
        <v>129</v>
      </c>
      <c r="B85" s="68">
        <v>31106</v>
      </c>
      <c r="C85" s="64">
        <v>14022.9</v>
      </c>
      <c r="D85" s="68">
        <v>36103.01526</v>
      </c>
      <c r="E85" s="68">
        <v>32520</v>
      </c>
      <c r="F85" s="144">
        <f t="shared" si="11"/>
        <v>1414</v>
      </c>
      <c r="G85" s="128">
        <f>+ADC!F20</f>
        <v>8841.303899999999</v>
      </c>
      <c r="H85" s="129">
        <f>+Nutrition!F17</f>
        <v>7226.35524</v>
      </c>
      <c r="I85" s="91"/>
      <c r="J85" s="161"/>
      <c r="K85" s="130"/>
      <c r="L85" s="68"/>
      <c r="M85" s="68"/>
      <c r="N85" s="68"/>
      <c r="O85" s="68"/>
      <c r="P85" s="68"/>
      <c r="Q85" s="68">
        <v>15810</v>
      </c>
      <c r="R85" s="13">
        <f t="shared" si="14"/>
        <v>31877.65914</v>
      </c>
      <c r="S85" s="7">
        <f t="shared" si="10"/>
        <v>-642.3408600000002</v>
      </c>
    </row>
    <row r="86" spans="1:19" ht="15">
      <c r="A86" s="51" t="s">
        <v>130</v>
      </c>
      <c r="B86" s="68">
        <v>2869</v>
      </c>
      <c r="C86" s="64">
        <v>147</v>
      </c>
      <c r="D86" s="68">
        <v>2679.8778</v>
      </c>
      <c r="E86" s="68">
        <v>2729</v>
      </c>
      <c r="F86" s="144">
        <f t="shared" si="11"/>
        <v>-140</v>
      </c>
      <c r="G86" s="128">
        <f>+ADC!G20</f>
        <v>720.016</v>
      </c>
      <c r="H86" s="129">
        <f>+Nutrition!G17</f>
        <v>540</v>
      </c>
      <c r="I86" s="91"/>
      <c r="J86" s="161"/>
      <c r="K86" s="130"/>
      <c r="L86" s="68"/>
      <c r="M86" s="68"/>
      <c r="N86" s="68"/>
      <c r="O86" s="68"/>
      <c r="P86" s="68"/>
      <c r="Q86" s="68">
        <v>1477</v>
      </c>
      <c r="R86" s="13">
        <f t="shared" si="14"/>
        <v>2737.016</v>
      </c>
      <c r="S86" s="7">
        <f t="shared" si="10"/>
        <v>8.016000000000076</v>
      </c>
    </row>
    <row r="87" spans="1:19" ht="15">
      <c r="A87" s="51" t="s">
        <v>131</v>
      </c>
      <c r="B87" s="68">
        <v>5710</v>
      </c>
      <c r="C87" s="64">
        <v>3939</v>
      </c>
      <c r="D87" s="68">
        <v>5986.601446799999</v>
      </c>
      <c r="E87" s="68">
        <v>6199</v>
      </c>
      <c r="F87" s="144">
        <f t="shared" si="11"/>
        <v>489</v>
      </c>
      <c r="G87" s="128">
        <f>+ADC!H20</f>
        <v>1907.0843999999997</v>
      </c>
      <c r="H87" s="129">
        <f>+Nutrition!H17</f>
        <v>1613.3748799999998</v>
      </c>
      <c r="I87" s="91"/>
      <c r="J87" s="161"/>
      <c r="K87" s="130"/>
      <c r="L87" s="68"/>
      <c r="M87" s="68"/>
      <c r="N87" s="68"/>
      <c r="O87" s="68"/>
      <c r="P87" s="68"/>
      <c r="Q87" s="68">
        <v>1055</v>
      </c>
      <c r="R87" s="13">
        <f t="shared" si="14"/>
        <v>4575.459279999999</v>
      </c>
      <c r="S87" s="7">
        <f t="shared" si="10"/>
        <v>-1623.5407200000009</v>
      </c>
    </row>
    <row r="88" spans="1:19" ht="15">
      <c r="A88" s="46" t="s">
        <v>40</v>
      </c>
      <c r="B88" s="91">
        <v>-15000</v>
      </c>
      <c r="C88" s="90"/>
      <c r="D88" s="91"/>
      <c r="E88" s="91"/>
      <c r="F88" s="125">
        <f t="shared" si="11"/>
        <v>15000</v>
      </c>
      <c r="G88" s="128"/>
      <c r="H88" s="129"/>
      <c r="I88" s="91"/>
      <c r="J88" s="91"/>
      <c r="K88" s="91"/>
      <c r="L88" s="91"/>
      <c r="M88" s="91"/>
      <c r="N88" s="91"/>
      <c r="O88" s="91"/>
      <c r="P88" s="91"/>
      <c r="Q88" s="91"/>
      <c r="R88" s="13">
        <f t="shared" si="14"/>
        <v>0</v>
      </c>
      <c r="S88" s="7">
        <f t="shared" si="10"/>
        <v>0</v>
      </c>
    </row>
    <row r="89" spans="1:19" ht="15">
      <c r="A89" s="4" t="s">
        <v>132</v>
      </c>
      <c r="B89" s="68">
        <v>3527</v>
      </c>
      <c r="C89" s="63">
        <v>984.78</v>
      </c>
      <c r="D89" s="68">
        <v>3135.04</v>
      </c>
      <c r="E89" s="68">
        <f>+'$1 increase'!I47</f>
        <v>3433.32</v>
      </c>
      <c r="F89" s="144">
        <f t="shared" si="11"/>
        <v>-93.67999999999984</v>
      </c>
      <c r="G89" s="128">
        <f>+ADC!I20</f>
        <v>762.96</v>
      </c>
      <c r="H89" s="129">
        <f>+Nutrition!I17</f>
        <v>381.48</v>
      </c>
      <c r="I89" s="91"/>
      <c r="J89" s="68"/>
      <c r="K89" s="130"/>
      <c r="L89" s="68"/>
      <c r="M89" s="68"/>
      <c r="N89" s="68"/>
      <c r="O89" s="68"/>
      <c r="P89" s="68"/>
      <c r="Q89" s="68">
        <v>1959</v>
      </c>
      <c r="R89" s="13">
        <f t="shared" si="14"/>
        <v>3103.44</v>
      </c>
      <c r="S89" s="7">
        <f t="shared" si="10"/>
        <v>-329.8800000000001</v>
      </c>
    </row>
    <row r="90" spans="1:19" ht="15">
      <c r="A90" s="4" t="s">
        <v>133</v>
      </c>
      <c r="B90" s="68">
        <v>7801</v>
      </c>
      <c r="C90" s="63">
        <v>2863.78</v>
      </c>
      <c r="D90" s="68">
        <v>9220.036799999998</v>
      </c>
      <c r="E90" s="68">
        <v>8669</v>
      </c>
      <c r="F90" s="144">
        <f t="shared" si="11"/>
        <v>868</v>
      </c>
      <c r="G90" s="128">
        <f>+ADC!J20</f>
        <v>2478.138</v>
      </c>
      <c r="H90" s="129">
        <f>+Nutrition!K17</f>
        <v>1510.9848000000002</v>
      </c>
      <c r="I90" s="91"/>
      <c r="J90" s="68"/>
      <c r="K90" s="130"/>
      <c r="L90" s="68"/>
      <c r="M90" s="68"/>
      <c r="N90" s="68"/>
      <c r="O90" s="68"/>
      <c r="P90" s="68"/>
      <c r="Q90" s="68">
        <v>3992</v>
      </c>
      <c r="R90" s="13">
        <f t="shared" si="14"/>
        <v>7981.1228</v>
      </c>
      <c r="S90" s="7">
        <f t="shared" si="10"/>
        <v>-687.8771999999999</v>
      </c>
    </row>
    <row r="91" spans="1:19" ht="15">
      <c r="A91" s="4" t="s">
        <v>134</v>
      </c>
      <c r="B91" s="68">
        <v>7801</v>
      </c>
      <c r="C91" s="63">
        <v>2872.78</v>
      </c>
      <c r="D91" s="68">
        <v>9220.036799999998</v>
      </c>
      <c r="E91" s="68">
        <v>8669</v>
      </c>
      <c r="F91" s="144">
        <f t="shared" si="11"/>
        <v>868</v>
      </c>
      <c r="G91" s="128">
        <f>+ADC!K20</f>
        <v>2478.138</v>
      </c>
      <c r="H91" s="129">
        <f>+Nutrition!J17</f>
        <v>1510.9848000000002</v>
      </c>
      <c r="I91" s="91"/>
      <c r="J91" s="68"/>
      <c r="K91" s="130"/>
      <c r="L91" s="68"/>
      <c r="M91" s="68"/>
      <c r="N91" s="68"/>
      <c r="O91" s="68"/>
      <c r="P91" s="68"/>
      <c r="Q91" s="68">
        <v>4524</v>
      </c>
      <c r="R91" s="13">
        <f t="shared" si="14"/>
        <v>8513.122800000001</v>
      </c>
      <c r="S91" s="7">
        <f t="shared" si="10"/>
        <v>-155.877199999999</v>
      </c>
    </row>
    <row r="92" spans="1:19" ht="15">
      <c r="A92" s="4" t="s">
        <v>135</v>
      </c>
      <c r="B92" s="68">
        <v>1150</v>
      </c>
      <c r="C92" s="68">
        <v>1100</v>
      </c>
      <c r="D92" s="68">
        <v>1150</v>
      </c>
      <c r="E92" s="68">
        <v>1150</v>
      </c>
      <c r="F92" s="144">
        <f t="shared" si="11"/>
        <v>0</v>
      </c>
      <c r="G92" s="128">
        <v>400</v>
      </c>
      <c r="H92" s="129">
        <v>250</v>
      </c>
      <c r="I92" s="91"/>
      <c r="J92" s="68"/>
      <c r="K92" s="130"/>
      <c r="L92" s="68"/>
      <c r="M92" s="68"/>
      <c r="N92" s="68"/>
      <c r="O92" s="68"/>
      <c r="P92" s="68"/>
      <c r="Q92" s="68">
        <v>500</v>
      </c>
      <c r="R92" s="13">
        <f t="shared" si="14"/>
        <v>1150</v>
      </c>
      <c r="S92" s="7">
        <f t="shared" si="10"/>
        <v>0</v>
      </c>
    </row>
    <row r="93" spans="1:19" ht="15">
      <c r="A93" s="46" t="s">
        <v>41</v>
      </c>
      <c r="B93" s="91"/>
      <c r="C93" s="90"/>
      <c r="D93" s="91"/>
      <c r="E93" s="91"/>
      <c r="F93" s="125">
        <f t="shared" si="11"/>
        <v>0</v>
      </c>
      <c r="G93" s="128"/>
      <c r="H93" s="129"/>
      <c r="I93" s="91"/>
      <c r="J93" s="91"/>
      <c r="K93" s="91"/>
      <c r="L93" s="91"/>
      <c r="M93" s="91"/>
      <c r="N93" s="91"/>
      <c r="O93" s="91"/>
      <c r="P93" s="91"/>
      <c r="Q93" s="91"/>
      <c r="R93" s="13">
        <f t="shared" si="14"/>
        <v>0</v>
      </c>
      <c r="S93" s="7">
        <f t="shared" si="10"/>
        <v>0</v>
      </c>
    </row>
    <row r="94" spans="1:19" ht="15">
      <c r="A94" s="46" t="s">
        <v>42</v>
      </c>
      <c r="B94" s="91">
        <v>2000</v>
      </c>
      <c r="C94" s="91">
        <v>7709.88</v>
      </c>
      <c r="D94" s="91">
        <v>2000</v>
      </c>
      <c r="E94" s="91">
        <v>2000</v>
      </c>
      <c r="F94" s="125">
        <f t="shared" si="11"/>
        <v>0</v>
      </c>
      <c r="G94" s="128">
        <f aca="true" t="shared" si="15" ref="G94:G131">+E94*0.0814</f>
        <v>162.8</v>
      </c>
      <c r="H94" s="129">
        <f aca="true" t="shared" si="16" ref="H94:H131">+E94*0.1212</f>
        <v>242.4</v>
      </c>
      <c r="I94" s="91"/>
      <c r="J94" s="91"/>
      <c r="K94" s="91"/>
      <c r="L94" s="91"/>
      <c r="M94" s="91"/>
      <c r="N94" s="91"/>
      <c r="O94" s="91"/>
      <c r="P94" s="91"/>
      <c r="Q94" s="91">
        <v>8732</v>
      </c>
      <c r="R94" s="13">
        <f t="shared" si="14"/>
        <v>9137.2</v>
      </c>
      <c r="S94" s="7">
        <f t="shared" si="10"/>
        <v>7137.200000000001</v>
      </c>
    </row>
    <row r="95" spans="1:19" ht="15">
      <c r="A95" s="46" t="s">
        <v>43</v>
      </c>
      <c r="B95" s="91"/>
      <c r="C95" s="90"/>
      <c r="D95" s="91"/>
      <c r="E95" s="91"/>
      <c r="F95" s="125">
        <f t="shared" si="11"/>
        <v>0</v>
      </c>
      <c r="G95" s="128">
        <f t="shared" si="15"/>
        <v>0</v>
      </c>
      <c r="H95" s="129">
        <f t="shared" si="16"/>
        <v>0</v>
      </c>
      <c r="I95" s="91"/>
      <c r="J95" s="91"/>
      <c r="K95" s="91"/>
      <c r="L95" s="91"/>
      <c r="M95" s="91"/>
      <c r="N95" s="91"/>
      <c r="O95" s="91"/>
      <c r="P95" s="91"/>
      <c r="Q95" s="91"/>
      <c r="R95" s="13">
        <f t="shared" si="14"/>
        <v>0</v>
      </c>
      <c r="S95" s="7">
        <f t="shared" si="10"/>
        <v>0</v>
      </c>
    </row>
    <row r="96" spans="1:19" ht="15">
      <c r="A96" s="4" t="s">
        <v>136</v>
      </c>
      <c r="B96" s="68">
        <v>48000</v>
      </c>
      <c r="C96" s="64">
        <v>19177.1</v>
      </c>
      <c r="D96" s="68">
        <v>40000</v>
      </c>
      <c r="E96" s="68">
        <v>30100</v>
      </c>
      <c r="F96" s="144">
        <f t="shared" si="11"/>
        <v>-17900</v>
      </c>
      <c r="G96" s="128"/>
      <c r="H96" s="129">
        <v>43600</v>
      </c>
      <c r="I96" s="91"/>
      <c r="J96" s="68"/>
      <c r="K96" s="130"/>
      <c r="L96" s="130"/>
      <c r="M96" s="130"/>
      <c r="N96" s="130"/>
      <c r="O96" s="130"/>
      <c r="P96" s="130"/>
      <c r="Q96" s="68"/>
      <c r="R96" s="13">
        <f t="shared" si="14"/>
        <v>43600</v>
      </c>
      <c r="S96" s="7">
        <f t="shared" si="10"/>
        <v>13500</v>
      </c>
    </row>
    <row r="97" spans="1:19" ht="15">
      <c r="A97" s="4" t="s">
        <v>138</v>
      </c>
      <c r="B97" s="109">
        <v>100</v>
      </c>
      <c r="C97" s="64">
        <v>30</v>
      </c>
      <c r="D97" s="109">
        <v>100</v>
      </c>
      <c r="E97" s="109">
        <v>100</v>
      </c>
      <c r="F97" s="144">
        <f t="shared" si="11"/>
        <v>0</v>
      </c>
      <c r="G97" s="128"/>
      <c r="H97" s="129">
        <v>100</v>
      </c>
      <c r="I97" s="91"/>
      <c r="J97" s="130"/>
      <c r="K97" s="130"/>
      <c r="L97" s="130"/>
      <c r="M97" s="130"/>
      <c r="N97" s="130"/>
      <c r="O97" s="130"/>
      <c r="P97" s="130"/>
      <c r="Q97" s="68">
        <v>79</v>
      </c>
      <c r="R97" s="13">
        <f t="shared" si="14"/>
        <v>179</v>
      </c>
      <c r="S97" s="7">
        <f t="shared" si="10"/>
        <v>79</v>
      </c>
    </row>
    <row r="98" spans="1:19" ht="15">
      <c r="A98" s="4" t="s">
        <v>137</v>
      </c>
      <c r="B98" s="109">
        <v>8500</v>
      </c>
      <c r="C98" s="68">
        <v>3181.27</v>
      </c>
      <c r="D98" s="109">
        <v>6000</v>
      </c>
      <c r="E98" s="109">
        <v>4500</v>
      </c>
      <c r="F98" s="144">
        <f t="shared" si="11"/>
        <v>-4000</v>
      </c>
      <c r="G98" s="128"/>
      <c r="H98" s="129">
        <v>6500</v>
      </c>
      <c r="I98" s="91"/>
      <c r="J98" s="68"/>
      <c r="K98" s="130"/>
      <c r="L98" s="130"/>
      <c r="M98" s="130"/>
      <c r="N98" s="130"/>
      <c r="O98" s="130"/>
      <c r="P98" s="130"/>
      <c r="Q98" s="68"/>
      <c r="R98" s="13">
        <f t="shared" si="14"/>
        <v>6500</v>
      </c>
      <c r="S98" s="7">
        <f t="shared" si="10"/>
        <v>2000</v>
      </c>
    </row>
    <row r="99" spans="1:19" ht="15">
      <c r="A99" s="46" t="s">
        <v>44</v>
      </c>
      <c r="B99" s="91"/>
      <c r="C99" s="90"/>
      <c r="D99" s="91"/>
      <c r="E99" s="91"/>
      <c r="F99" s="125">
        <f t="shared" si="11"/>
        <v>0</v>
      </c>
      <c r="G99" s="128">
        <f t="shared" si="15"/>
        <v>0</v>
      </c>
      <c r="H99" s="129">
        <f t="shared" si="16"/>
        <v>0</v>
      </c>
      <c r="I99" s="91"/>
      <c r="J99" s="91"/>
      <c r="K99" s="91"/>
      <c r="L99" s="91"/>
      <c r="M99" s="91"/>
      <c r="N99" s="91"/>
      <c r="O99" s="91"/>
      <c r="P99" s="91"/>
      <c r="Q99" s="91"/>
      <c r="R99" s="13">
        <f t="shared" si="14"/>
        <v>0</v>
      </c>
      <c r="S99" s="7">
        <f t="shared" si="10"/>
        <v>0</v>
      </c>
    </row>
    <row r="100" spans="1:19" ht="15">
      <c r="A100" s="4" t="s">
        <v>160</v>
      </c>
      <c r="B100" s="109">
        <v>2800</v>
      </c>
      <c r="C100" s="63">
        <v>0</v>
      </c>
      <c r="D100" s="109">
        <v>2820</v>
      </c>
      <c r="E100" s="109">
        <v>2820</v>
      </c>
      <c r="F100" s="144">
        <f t="shared" si="11"/>
        <v>20</v>
      </c>
      <c r="G100" s="128">
        <f t="shared" si="15"/>
        <v>229.548</v>
      </c>
      <c r="H100" s="129">
        <f t="shared" si="16"/>
        <v>341.784</v>
      </c>
      <c r="I100" s="91"/>
      <c r="J100" s="130"/>
      <c r="K100" s="130"/>
      <c r="L100" s="130"/>
      <c r="M100" s="130"/>
      <c r="N100" s="130"/>
      <c r="O100" s="130"/>
      <c r="P100" s="130"/>
      <c r="Q100" s="68">
        <v>2223</v>
      </c>
      <c r="R100" s="13">
        <f t="shared" si="14"/>
        <v>2794.332</v>
      </c>
      <c r="S100" s="7">
        <f t="shared" si="10"/>
        <v>-25.66800000000012</v>
      </c>
    </row>
    <row r="101" spans="1:19" ht="15">
      <c r="A101" s="4" t="s">
        <v>161</v>
      </c>
      <c r="B101" s="109">
        <v>2310</v>
      </c>
      <c r="C101" s="64">
        <v>0</v>
      </c>
      <c r="D101" s="109">
        <v>2338</v>
      </c>
      <c r="E101" s="109">
        <v>2338</v>
      </c>
      <c r="F101" s="144">
        <f t="shared" si="11"/>
        <v>28</v>
      </c>
      <c r="G101" s="128">
        <f t="shared" si="15"/>
        <v>190.3132</v>
      </c>
      <c r="H101" s="129">
        <f t="shared" si="16"/>
        <v>283.36560000000003</v>
      </c>
      <c r="I101" s="91"/>
      <c r="J101" s="130"/>
      <c r="K101" s="130"/>
      <c r="L101" s="130"/>
      <c r="M101" s="130"/>
      <c r="N101" s="130"/>
      <c r="O101" s="130"/>
      <c r="P101" s="130"/>
      <c r="Q101" s="68">
        <v>1834</v>
      </c>
      <c r="R101" s="13">
        <f t="shared" si="14"/>
        <v>2307.6788</v>
      </c>
      <c r="S101" s="7">
        <f t="shared" si="10"/>
        <v>-30.321199999999862</v>
      </c>
    </row>
    <row r="102" spans="1:19" ht="15">
      <c r="A102" s="4" t="s">
        <v>162</v>
      </c>
      <c r="B102" s="109">
        <v>816</v>
      </c>
      <c r="C102" s="68">
        <v>0</v>
      </c>
      <c r="D102" s="109">
        <v>842</v>
      </c>
      <c r="E102" s="109">
        <v>842</v>
      </c>
      <c r="F102" s="144">
        <f t="shared" si="11"/>
        <v>26</v>
      </c>
      <c r="G102" s="128">
        <f t="shared" si="15"/>
        <v>68.5388</v>
      </c>
      <c r="H102" s="129">
        <f t="shared" si="16"/>
        <v>102.0504</v>
      </c>
      <c r="I102" s="91"/>
      <c r="J102" s="130"/>
      <c r="K102" s="130"/>
      <c r="L102" s="130"/>
      <c r="M102" s="130"/>
      <c r="N102" s="130"/>
      <c r="O102" s="130"/>
      <c r="P102" s="130"/>
      <c r="Q102" s="68">
        <v>648</v>
      </c>
      <c r="R102" s="13">
        <f t="shared" si="14"/>
        <v>818.5892</v>
      </c>
      <c r="S102" s="7">
        <f t="shared" si="10"/>
        <v>-23.410799999999995</v>
      </c>
    </row>
    <row r="103" spans="1:19" ht="15">
      <c r="A103" s="46" t="s">
        <v>45</v>
      </c>
      <c r="B103" s="91"/>
      <c r="C103" s="90"/>
      <c r="D103" s="91"/>
      <c r="E103" s="91"/>
      <c r="F103" s="125">
        <f t="shared" si="11"/>
        <v>0</v>
      </c>
      <c r="G103" s="128">
        <f t="shared" si="15"/>
        <v>0</v>
      </c>
      <c r="H103" s="129">
        <f t="shared" si="16"/>
        <v>0</v>
      </c>
      <c r="I103" s="91"/>
      <c r="J103" s="91"/>
      <c r="K103" s="91"/>
      <c r="L103" s="91"/>
      <c r="M103" s="91"/>
      <c r="N103" s="91"/>
      <c r="O103" s="91"/>
      <c r="P103" s="91"/>
      <c r="Q103" s="91"/>
      <c r="R103" s="13">
        <f t="shared" si="14"/>
        <v>0</v>
      </c>
      <c r="S103" s="7">
        <f t="shared" si="10"/>
        <v>0</v>
      </c>
    </row>
    <row r="104" spans="1:19" ht="15">
      <c r="A104" s="4" t="s">
        <v>139</v>
      </c>
      <c r="B104" s="109">
        <v>8000</v>
      </c>
      <c r="C104" s="64">
        <v>9450</v>
      </c>
      <c r="D104" s="109">
        <v>9500</v>
      </c>
      <c r="E104" s="109">
        <v>12000</v>
      </c>
      <c r="F104" s="144">
        <f t="shared" si="11"/>
        <v>4000</v>
      </c>
      <c r="G104" s="128">
        <f t="shared" si="15"/>
        <v>976.8</v>
      </c>
      <c r="H104" s="129">
        <f t="shared" si="16"/>
        <v>1454.4</v>
      </c>
      <c r="I104" s="91"/>
      <c r="J104" s="130"/>
      <c r="K104" s="130"/>
      <c r="L104" s="130"/>
      <c r="M104" s="130"/>
      <c r="N104" s="130"/>
      <c r="O104" s="130"/>
      <c r="P104" s="130"/>
      <c r="Q104" s="68">
        <v>6350</v>
      </c>
      <c r="R104" s="13">
        <f t="shared" si="14"/>
        <v>8781.2</v>
      </c>
      <c r="S104" s="7">
        <f t="shared" si="10"/>
        <v>-3218.7999999999993</v>
      </c>
    </row>
    <row r="105" spans="1:19" ht="15">
      <c r="A105" s="4" t="s">
        <v>163</v>
      </c>
      <c r="B105" s="109">
        <v>500</v>
      </c>
      <c r="C105" s="63">
        <v>0</v>
      </c>
      <c r="D105" s="109">
        <v>500</v>
      </c>
      <c r="E105" s="109">
        <v>500</v>
      </c>
      <c r="F105" s="144">
        <f t="shared" si="11"/>
        <v>0</v>
      </c>
      <c r="G105" s="128">
        <f t="shared" si="15"/>
        <v>40.7</v>
      </c>
      <c r="H105" s="129">
        <f t="shared" si="16"/>
        <v>60.6</v>
      </c>
      <c r="I105" s="91"/>
      <c r="J105" s="130"/>
      <c r="K105" s="130"/>
      <c r="L105" s="130"/>
      <c r="M105" s="130"/>
      <c r="N105" s="130"/>
      <c r="O105" s="130"/>
      <c r="P105" s="130"/>
      <c r="Q105" s="68">
        <v>397</v>
      </c>
      <c r="R105" s="13">
        <f t="shared" si="14"/>
        <v>498.3</v>
      </c>
      <c r="S105" s="7">
        <f t="shared" si="10"/>
        <v>-1.6999999999999886</v>
      </c>
    </row>
    <row r="106" spans="1:19" ht="15">
      <c r="A106" s="4" t="s">
        <v>164</v>
      </c>
      <c r="B106" s="109">
        <v>900</v>
      </c>
      <c r="C106" s="68">
        <v>410.86</v>
      </c>
      <c r="D106" s="109">
        <v>900</v>
      </c>
      <c r="E106" s="109">
        <v>900</v>
      </c>
      <c r="F106" s="144">
        <f t="shared" si="11"/>
        <v>0</v>
      </c>
      <c r="G106" s="128">
        <f t="shared" si="15"/>
        <v>73.26</v>
      </c>
      <c r="H106" s="129">
        <f t="shared" si="16"/>
        <v>109.08</v>
      </c>
      <c r="I106" s="91"/>
      <c r="J106" s="130"/>
      <c r="K106" s="130"/>
      <c r="L106" s="130"/>
      <c r="M106" s="130"/>
      <c r="N106" s="130"/>
      <c r="O106" s="130"/>
      <c r="P106" s="130"/>
      <c r="Q106" s="68">
        <v>714</v>
      </c>
      <c r="R106" s="13">
        <f t="shared" si="14"/>
        <v>896.34</v>
      </c>
      <c r="S106" s="7">
        <f t="shared" si="10"/>
        <v>-3.659999999999968</v>
      </c>
    </row>
    <row r="107" spans="1:19" ht="15">
      <c r="A107" s="46" t="s">
        <v>46</v>
      </c>
      <c r="B107" s="91"/>
      <c r="C107" s="90"/>
      <c r="D107" s="91"/>
      <c r="E107" s="91"/>
      <c r="F107" s="125">
        <f t="shared" si="11"/>
        <v>0</v>
      </c>
      <c r="G107" s="128">
        <f t="shared" si="15"/>
        <v>0</v>
      </c>
      <c r="H107" s="129">
        <f t="shared" si="16"/>
        <v>0</v>
      </c>
      <c r="I107" s="91"/>
      <c r="J107" s="91"/>
      <c r="K107" s="91"/>
      <c r="L107" s="91"/>
      <c r="M107" s="91"/>
      <c r="N107" s="91"/>
      <c r="O107" s="91"/>
      <c r="P107" s="91"/>
      <c r="Q107" s="91"/>
      <c r="R107" s="13">
        <f t="shared" si="14"/>
        <v>0</v>
      </c>
      <c r="S107" s="7">
        <f t="shared" si="10"/>
        <v>0</v>
      </c>
    </row>
    <row r="108" spans="1:19" ht="15">
      <c r="A108" s="4" t="s">
        <v>141</v>
      </c>
      <c r="B108" s="109">
        <v>1000</v>
      </c>
      <c r="C108" s="63">
        <v>550</v>
      </c>
      <c r="D108" s="109">
        <v>1000</v>
      </c>
      <c r="E108" s="109">
        <v>700</v>
      </c>
      <c r="F108" s="144">
        <f t="shared" si="11"/>
        <v>-300</v>
      </c>
      <c r="G108" s="128">
        <f t="shared" si="15"/>
        <v>56.98</v>
      </c>
      <c r="H108" s="129">
        <f t="shared" si="16"/>
        <v>84.84</v>
      </c>
      <c r="I108" s="91"/>
      <c r="J108" s="130"/>
      <c r="K108" s="130"/>
      <c r="L108" s="130"/>
      <c r="M108" s="130"/>
      <c r="N108" s="130"/>
      <c r="O108" s="130"/>
      <c r="P108" s="130"/>
      <c r="Q108" s="68">
        <v>794</v>
      </c>
      <c r="R108" s="13">
        <f t="shared" si="14"/>
        <v>935.8199999999999</v>
      </c>
      <c r="S108" s="7">
        <f t="shared" si="10"/>
        <v>235.81999999999994</v>
      </c>
    </row>
    <row r="109" spans="1:19" ht="15">
      <c r="A109" s="4" t="s">
        <v>140</v>
      </c>
      <c r="B109" s="109">
        <v>1000</v>
      </c>
      <c r="C109" s="68">
        <v>252.45</v>
      </c>
      <c r="D109" s="109">
        <v>1000</v>
      </c>
      <c r="E109" s="109">
        <v>700</v>
      </c>
      <c r="F109" s="144">
        <f t="shared" si="11"/>
        <v>-300</v>
      </c>
      <c r="G109" s="128">
        <f t="shared" si="15"/>
        <v>56.98</v>
      </c>
      <c r="H109" s="129">
        <f t="shared" si="16"/>
        <v>84.84</v>
      </c>
      <c r="I109" s="91"/>
      <c r="J109" s="130"/>
      <c r="K109" s="130"/>
      <c r="L109" s="109"/>
      <c r="M109" s="109"/>
      <c r="N109" s="109"/>
      <c r="O109" s="109"/>
      <c r="P109" s="68"/>
      <c r="Q109" s="68">
        <v>794</v>
      </c>
      <c r="R109" s="13">
        <f t="shared" si="14"/>
        <v>935.8199999999999</v>
      </c>
      <c r="S109" s="7">
        <f t="shared" si="10"/>
        <v>235.81999999999994</v>
      </c>
    </row>
    <row r="110" spans="1:19" ht="15">
      <c r="A110" s="46" t="s">
        <v>47</v>
      </c>
      <c r="B110" s="91"/>
      <c r="C110" s="90"/>
      <c r="D110" s="91"/>
      <c r="E110" s="91"/>
      <c r="F110" s="125">
        <f t="shared" si="11"/>
        <v>0</v>
      </c>
      <c r="G110" s="128">
        <f t="shared" si="15"/>
        <v>0</v>
      </c>
      <c r="H110" s="129">
        <f t="shared" si="16"/>
        <v>0</v>
      </c>
      <c r="I110" s="91"/>
      <c r="J110" s="91"/>
      <c r="K110" s="91"/>
      <c r="L110" s="91"/>
      <c r="M110" s="91"/>
      <c r="N110" s="91"/>
      <c r="O110" s="91"/>
      <c r="P110" s="91"/>
      <c r="Q110" s="91"/>
      <c r="R110" s="13">
        <f t="shared" si="14"/>
        <v>0</v>
      </c>
      <c r="S110" s="7">
        <f t="shared" si="10"/>
        <v>0</v>
      </c>
    </row>
    <row r="111" spans="1:19" ht="15">
      <c r="A111" s="4" t="s">
        <v>48</v>
      </c>
      <c r="B111" s="109">
        <v>9000</v>
      </c>
      <c r="C111" s="64">
        <v>9846.78</v>
      </c>
      <c r="D111" s="109">
        <v>9000</v>
      </c>
      <c r="E111" s="109">
        <v>9000</v>
      </c>
      <c r="F111" s="144">
        <f t="shared" si="11"/>
        <v>0</v>
      </c>
      <c r="G111" s="128">
        <f t="shared" si="15"/>
        <v>732.6</v>
      </c>
      <c r="H111" s="129">
        <f t="shared" si="16"/>
        <v>1090.8</v>
      </c>
      <c r="I111" s="91"/>
      <c r="J111" s="109"/>
      <c r="K111" s="130"/>
      <c r="L111" s="109"/>
      <c r="M111" s="109"/>
      <c r="N111" s="109"/>
      <c r="O111" s="109"/>
      <c r="P111" s="109"/>
      <c r="Q111" s="68">
        <v>7144</v>
      </c>
      <c r="R111" s="13">
        <f t="shared" si="14"/>
        <v>8967.4</v>
      </c>
      <c r="S111" s="7">
        <f t="shared" si="10"/>
        <v>-32.600000000000364</v>
      </c>
    </row>
    <row r="112" spans="1:19" ht="15">
      <c r="A112" s="4" t="s">
        <v>49</v>
      </c>
      <c r="B112" s="109">
        <v>8000</v>
      </c>
      <c r="C112" s="64">
        <v>10816.32</v>
      </c>
      <c r="D112" s="109">
        <v>8000</v>
      </c>
      <c r="E112" s="109">
        <v>8000</v>
      </c>
      <c r="F112" s="144">
        <f t="shared" si="11"/>
        <v>0</v>
      </c>
      <c r="G112" s="128">
        <f t="shared" si="15"/>
        <v>651.2</v>
      </c>
      <c r="H112" s="129">
        <f t="shared" si="16"/>
        <v>969.6</v>
      </c>
      <c r="I112" s="91"/>
      <c r="J112" s="109"/>
      <c r="K112" s="130"/>
      <c r="L112" s="109"/>
      <c r="M112" s="109"/>
      <c r="N112" s="109"/>
      <c r="O112" s="109"/>
      <c r="P112" s="130"/>
      <c r="Q112" s="68">
        <v>6350</v>
      </c>
      <c r="R112" s="13">
        <f t="shared" si="14"/>
        <v>7970.8</v>
      </c>
      <c r="S112" s="7">
        <f t="shared" si="10"/>
        <v>-29.199999999999818</v>
      </c>
    </row>
    <row r="113" spans="1:19" ht="15">
      <c r="A113" s="4" t="s">
        <v>50</v>
      </c>
      <c r="B113" s="109">
        <v>4000</v>
      </c>
      <c r="C113" s="64">
        <v>1732.2</v>
      </c>
      <c r="D113" s="109">
        <v>4000</v>
      </c>
      <c r="E113" s="109">
        <v>4000</v>
      </c>
      <c r="F113" s="144">
        <f t="shared" si="11"/>
        <v>0</v>
      </c>
      <c r="G113" s="128">
        <f t="shared" si="15"/>
        <v>325.6</v>
      </c>
      <c r="H113" s="129">
        <f t="shared" si="16"/>
        <v>484.8</v>
      </c>
      <c r="I113" s="91"/>
      <c r="J113" s="109"/>
      <c r="K113" s="68"/>
      <c r="L113" s="109"/>
      <c r="M113" s="109"/>
      <c r="N113" s="109"/>
      <c r="O113" s="109"/>
      <c r="P113" s="109"/>
      <c r="Q113" s="68">
        <v>3175</v>
      </c>
      <c r="R113" s="13">
        <f t="shared" si="14"/>
        <v>3985.4</v>
      </c>
      <c r="S113" s="7">
        <f t="shared" si="10"/>
        <v>-14.599999999999909</v>
      </c>
    </row>
    <row r="114" spans="1:19" ht="15">
      <c r="A114" s="4" t="s">
        <v>51</v>
      </c>
      <c r="B114" s="109">
        <v>2500</v>
      </c>
      <c r="C114" s="64">
        <v>1030.25</v>
      </c>
      <c r="D114" s="109">
        <v>2200</v>
      </c>
      <c r="E114" s="109">
        <v>2200</v>
      </c>
      <c r="F114" s="144">
        <f t="shared" si="11"/>
        <v>-300</v>
      </c>
      <c r="G114" s="128">
        <f t="shared" si="15"/>
        <v>179.08</v>
      </c>
      <c r="H114" s="129">
        <f t="shared" si="16"/>
        <v>266.64</v>
      </c>
      <c r="I114" s="91"/>
      <c r="J114" s="130"/>
      <c r="K114" s="130"/>
      <c r="L114" s="109"/>
      <c r="M114" s="109"/>
      <c r="N114" s="109"/>
      <c r="O114" s="109"/>
      <c r="P114" s="130"/>
      <c r="Q114" s="68">
        <v>1985</v>
      </c>
      <c r="R114" s="13">
        <f t="shared" si="14"/>
        <v>2430.7200000000003</v>
      </c>
      <c r="S114" s="7">
        <f t="shared" si="10"/>
        <v>230.72000000000025</v>
      </c>
    </row>
    <row r="115" spans="1:19" ht="15">
      <c r="A115" s="4" t="s">
        <v>184</v>
      </c>
      <c r="B115" s="109">
        <v>5700</v>
      </c>
      <c r="C115" s="64">
        <v>2330.33</v>
      </c>
      <c r="D115" s="109">
        <v>5000</v>
      </c>
      <c r="E115" s="109">
        <v>3800</v>
      </c>
      <c r="F115" s="144">
        <f t="shared" si="11"/>
        <v>-1900</v>
      </c>
      <c r="G115" s="128">
        <f t="shared" si="15"/>
        <v>309.32</v>
      </c>
      <c r="H115" s="129">
        <f t="shared" si="16"/>
        <v>460.56</v>
      </c>
      <c r="I115" s="91"/>
      <c r="J115" s="68"/>
      <c r="K115" s="130"/>
      <c r="L115" s="109"/>
      <c r="M115" s="109"/>
      <c r="N115" s="109"/>
      <c r="O115" s="109"/>
      <c r="P115" s="130"/>
      <c r="Q115" s="68">
        <v>4525</v>
      </c>
      <c r="R115" s="13">
        <f t="shared" si="14"/>
        <v>5294.88</v>
      </c>
      <c r="S115" s="7">
        <f t="shared" si="10"/>
        <v>1494.88</v>
      </c>
    </row>
    <row r="116" spans="1:19" ht="15">
      <c r="A116" s="4" t="s">
        <v>52</v>
      </c>
      <c r="B116" s="109">
        <v>3000</v>
      </c>
      <c r="C116" s="64">
        <v>1504.35</v>
      </c>
      <c r="D116" s="109">
        <v>3000</v>
      </c>
      <c r="E116" s="109">
        <v>3000</v>
      </c>
      <c r="F116" s="144">
        <f t="shared" si="11"/>
        <v>0</v>
      </c>
      <c r="G116" s="128">
        <f t="shared" si="15"/>
        <v>244.2</v>
      </c>
      <c r="H116" s="129">
        <f t="shared" si="16"/>
        <v>363.6</v>
      </c>
      <c r="I116" s="91"/>
      <c r="J116" s="130"/>
      <c r="K116" s="130"/>
      <c r="L116" s="130"/>
      <c r="M116" s="130"/>
      <c r="N116" s="130"/>
      <c r="O116" s="130"/>
      <c r="P116" s="130"/>
      <c r="Q116" s="68">
        <v>2381</v>
      </c>
      <c r="R116" s="13">
        <f t="shared" si="14"/>
        <v>2988.8</v>
      </c>
      <c r="S116" s="7">
        <f t="shared" si="10"/>
        <v>-11.199999999999818</v>
      </c>
    </row>
    <row r="117" spans="1:19" ht="15">
      <c r="A117" s="4" t="s">
        <v>53</v>
      </c>
      <c r="B117" s="109">
        <v>55000</v>
      </c>
      <c r="C117" s="64">
        <v>24322.48</v>
      </c>
      <c r="D117" s="109">
        <v>48600</v>
      </c>
      <c r="E117" s="109">
        <v>42700</v>
      </c>
      <c r="F117" s="144">
        <f t="shared" si="11"/>
        <v>-12300</v>
      </c>
      <c r="G117" s="128">
        <f t="shared" si="15"/>
        <v>3475.78</v>
      </c>
      <c r="H117" s="129">
        <f t="shared" si="16"/>
        <v>5175.24</v>
      </c>
      <c r="I117" s="91"/>
      <c r="J117" s="109"/>
      <c r="K117" s="130"/>
      <c r="L117" s="109"/>
      <c r="M117" s="109"/>
      <c r="N117" s="109"/>
      <c r="O117" s="109"/>
      <c r="P117" s="130"/>
      <c r="Q117" s="68">
        <v>43659</v>
      </c>
      <c r="R117" s="13">
        <f t="shared" si="14"/>
        <v>52310.020000000004</v>
      </c>
      <c r="S117" s="7">
        <f t="shared" si="10"/>
        <v>9610.020000000004</v>
      </c>
    </row>
    <row r="118" spans="1:19" ht="15">
      <c r="A118" s="4" t="s">
        <v>54</v>
      </c>
      <c r="B118" s="109">
        <v>15000</v>
      </c>
      <c r="C118" s="68">
        <v>3900.45</v>
      </c>
      <c r="D118" s="109">
        <v>8000</v>
      </c>
      <c r="E118" s="109">
        <v>6900</v>
      </c>
      <c r="F118" s="144">
        <f t="shared" si="11"/>
        <v>-8100</v>
      </c>
      <c r="G118" s="128">
        <f t="shared" si="15"/>
        <v>561.66</v>
      </c>
      <c r="H118" s="129">
        <f t="shared" si="16"/>
        <v>836.28</v>
      </c>
      <c r="I118" s="91"/>
      <c r="J118" s="109"/>
      <c r="K118" s="130"/>
      <c r="L118" s="109"/>
      <c r="M118" s="109"/>
      <c r="N118" s="109"/>
      <c r="O118" s="109"/>
      <c r="P118" s="130"/>
      <c r="Q118" s="68">
        <v>11907</v>
      </c>
      <c r="R118" s="13">
        <f t="shared" si="14"/>
        <v>13304.94</v>
      </c>
      <c r="S118" s="7">
        <f t="shared" si="10"/>
        <v>6404.9400000000005</v>
      </c>
    </row>
    <row r="119" spans="1:19" ht="15">
      <c r="A119" s="4" t="s">
        <v>185</v>
      </c>
      <c r="B119" s="109">
        <v>2500</v>
      </c>
      <c r="C119" s="68">
        <v>960</v>
      </c>
      <c r="D119" s="109">
        <v>1920</v>
      </c>
      <c r="E119" s="109">
        <v>1740</v>
      </c>
      <c r="F119" s="144">
        <f t="shared" si="11"/>
        <v>-760</v>
      </c>
      <c r="G119" s="128">
        <f t="shared" si="15"/>
        <v>141.636</v>
      </c>
      <c r="H119" s="129">
        <f t="shared" si="16"/>
        <v>210.888</v>
      </c>
      <c r="I119" s="91"/>
      <c r="J119" s="109"/>
      <c r="K119" s="130"/>
      <c r="L119" s="109"/>
      <c r="M119" s="109"/>
      <c r="N119" s="109"/>
      <c r="O119" s="109"/>
      <c r="P119" s="130"/>
      <c r="Q119" s="68"/>
      <c r="R119" s="13"/>
      <c r="S119" s="7"/>
    </row>
    <row r="120" spans="1:19" ht="15">
      <c r="A120" s="46" t="s">
        <v>55</v>
      </c>
      <c r="B120" s="91"/>
      <c r="C120" s="90"/>
      <c r="D120" s="91"/>
      <c r="E120" s="91"/>
      <c r="F120" s="125"/>
      <c r="G120" s="128">
        <f t="shared" si="15"/>
        <v>0</v>
      </c>
      <c r="H120" s="129">
        <f t="shared" si="16"/>
        <v>0</v>
      </c>
      <c r="I120" s="91"/>
      <c r="J120" s="91"/>
      <c r="K120" s="91"/>
      <c r="L120" s="91"/>
      <c r="M120" s="91"/>
      <c r="N120" s="91"/>
      <c r="O120" s="91"/>
      <c r="P120" s="91"/>
      <c r="Q120" s="91"/>
      <c r="R120" s="13">
        <f t="shared" si="14"/>
        <v>0</v>
      </c>
      <c r="S120" s="7">
        <f t="shared" si="10"/>
        <v>0</v>
      </c>
    </row>
    <row r="121" spans="1:19" ht="15">
      <c r="A121" s="4" t="s">
        <v>142</v>
      </c>
      <c r="B121" s="109">
        <v>1000</v>
      </c>
      <c r="C121" s="63">
        <v>488.77</v>
      </c>
      <c r="D121" s="109">
        <v>1000</v>
      </c>
      <c r="E121" s="109">
        <v>1000</v>
      </c>
      <c r="F121" s="144">
        <f t="shared" si="11"/>
        <v>0</v>
      </c>
      <c r="G121" s="128">
        <f t="shared" si="15"/>
        <v>81.4</v>
      </c>
      <c r="H121" s="129">
        <f t="shared" si="16"/>
        <v>121.2</v>
      </c>
      <c r="I121" s="91"/>
      <c r="J121" s="130"/>
      <c r="K121" s="130"/>
      <c r="L121" s="130"/>
      <c r="M121" s="130"/>
      <c r="N121" s="130"/>
      <c r="O121" s="130"/>
      <c r="P121" s="130"/>
      <c r="Q121" s="68">
        <v>794</v>
      </c>
      <c r="R121" s="13">
        <f t="shared" si="14"/>
        <v>996.6</v>
      </c>
      <c r="S121" s="7">
        <f t="shared" si="10"/>
        <v>-3.3999999999999773</v>
      </c>
    </row>
    <row r="122" spans="1:19" ht="15">
      <c r="A122" s="4" t="s">
        <v>143</v>
      </c>
      <c r="B122" s="109">
        <v>1500</v>
      </c>
      <c r="C122" s="63">
        <v>904.85</v>
      </c>
      <c r="D122" s="109">
        <v>2000</v>
      </c>
      <c r="E122" s="109">
        <v>1500</v>
      </c>
      <c r="F122" s="144">
        <f t="shared" si="11"/>
        <v>0</v>
      </c>
      <c r="G122" s="128">
        <v>2000</v>
      </c>
      <c r="H122" s="129"/>
      <c r="I122" s="91"/>
      <c r="J122" s="130"/>
      <c r="K122" s="130"/>
      <c r="L122" s="130"/>
      <c r="M122" s="130"/>
      <c r="N122" s="130"/>
      <c r="O122" s="130"/>
      <c r="P122" s="130"/>
      <c r="Q122" s="68"/>
      <c r="R122" s="13">
        <f t="shared" si="14"/>
        <v>2000</v>
      </c>
      <c r="S122" s="7">
        <f t="shared" si="10"/>
        <v>500</v>
      </c>
    </row>
    <row r="123" spans="1:19" ht="15">
      <c r="A123" s="4" t="s">
        <v>144</v>
      </c>
      <c r="B123" s="109">
        <v>12480</v>
      </c>
      <c r="C123" s="64">
        <v>6052.5</v>
      </c>
      <c r="D123" s="109">
        <v>16800</v>
      </c>
      <c r="E123" s="109">
        <v>11200</v>
      </c>
      <c r="F123" s="144">
        <f t="shared" si="11"/>
        <v>-1280</v>
      </c>
      <c r="G123" s="128">
        <v>16800</v>
      </c>
      <c r="H123" s="129"/>
      <c r="I123" s="91"/>
      <c r="J123" s="130"/>
      <c r="K123" s="130"/>
      <c r="L123" s="130"/>
      <c r="M123" s="130"/>
      <c r="N123" s="130"/>
      <c r="O123" s="130"/>
      <c r="P123" s="130"/>
      <c r="Q123" s="68"/>
      <c r="R123" s="13">
        <f t="shared" si="14"/>
        <v>16800</v>
      </c>
      <c r="S123" s="7">
        <f t="shared" si="10"/>
        <v>5600</v>
      </c>
    </row>
    <row r="124" spans="1:19" ht="15">
      <c r="A124" s="4" t="s">
        <v>145</v>
      </c>
      <c r="B124" s="109">
        <v>3000</v>
      </c>
      <c r="C124" s="64">
        <v>1026.7</v>
      </c>
      <c r="D124" s="109">
        <v>0</v>
      </c>
      <c r="E124" s="109">
        <v>0</v>
      </c>
      <c r="F124" s="144">
        <f t="shared" si="11"/>
        <v>-3000</v>
      </c>
      <c r="G124" s="128">
        <f t="shared" si="15"/>
        <v>0</v>
      </c>
      <c r="H124" s="129">
        <f t="shared" si="16"/>
        <v>0</v>
      </c>
      <c r="I124" s="91"/>
      <c r="J124" s="68"/>
      <c r="K124" s="68"/>
      <c r="L124" s="130"/>
      <c r="M124" s="130"/>
      <c r="N124" s="68"/>
      <c r="O124" s="130"/>
      <c r="P124" s="130"/>
      <c r="Q124" s="68">
        <v>2381</v>
      </c>
      <c r="R124" s="13">
        <f t="shared" si="14"/>
        <v>2381</v>
      </c>
      <c r="S124" s="7">
        <f t="shared" si="10"/>
        <v>2381</v>
      </c>
    </row>
    <row r="125" spans="1:19" ht="15">
      <c r="A125" s="4" t="s">
        <v>175</v>
      </c>
      <c r="B125" s="109">
        <v>2120</v>
      </c>
      <c r="C125" s="63">
        <v>528.7</v>
      </c>
      <c r="D125" s="109">
        <v>4500</v>
      </c>
      <c r="E125" s="109">
        <v>4500</v>
      </c>
      <c r="F125" s="144">
        <f t="shared" si="11"/>
        <v>2380</v>
      </c>
      <c r="G125" s="128">
        <f t="shared" si="15"/>
        <v>366.3</v>
      </c>
      <c r="H125" s="129">
        <f t="shared" si="16"/>
        <v>545.4</v>
      </c>
      <c r="I125" s="91"/>
      <c r="J125" s="130"/>
      <c r="K125" s="130"/>
      <c r="L125" s="109"/>
      <c r="M125" s="109"/>
      <c r="N125" s="109"/>
      <c r="O125" s="130"/>
      <c r="P125" s="130"/>
      <c r="Q125" s="68">
        <v>1683</v>
      </c>
      <c r="R125" s="13">
        <f>SUM(G125:Q125)</f>
        <v>2594.7</v>
      </c>
      <c r="S125" s="7">
        <f>+R125-E125</f>
        <v>-1905.3000000000002</v>
      </c>
    </row>
    <row r="126" spans="1:19" ht="15">
      <c r="A126" s="4" t="s">
        <v>176</v>
      </c>
      <c r="B126" s="109">
        <v>4200</v>
      </c>
      <c r="C126" s="63">
        <v>649.94</v>
      </c>
      <c r="D126" s="109">
        <v>3800</v>
      </c>
      <c r="E126" s="109">
        <v>3800</v>
      </c>
      <c r="F126" s="144">
        <f t="shared" si="11"/>
        <v>-400</v>
      </c>
      <c r="G126" s="128">
        <f t="shared" si="15"/>
        <v>309.32</v>
      </c>
      <c r="H126" s="129">
        <f t="shared" si="16"/>
        <v>460.56</v>
      </c>
      <c r="I126" s="91"/>
      <c r="J126" s="130"/>
      <c r="K126" s="130"/>
      <c r="L126" s="109"/>
      <c r="M126" s="109"/>
      <c r="N126" s="109"/>
      <c r="O126" s="130"/>
      <c r="P126" s="130"/>
      <c r="Q126" s="68">
        <v>3334</v>
      </c>
      <c r="R126" s="13">
        <f>SUM(G126:Q126)</f>
        <v>4103.88</v>
      </c>
      <c r="S126" s="7">
        <f>+R126-E126</f>
        <v>303.8800000000001</v>
      </c>
    </row>
    <row r="127" spans="1:19" ht="15">
      <c r="A127" s="4" t="s">
        <v>146</v>
      </c>
      <c r="B127" s="109">
        <v>3000</v>
      </c>
      <c r="C127" s="63">
        <v>0</v>
      </c>
      <c r="D127" s="109">
        <v>0</v>
      </c>
      <c r="E127" s="109">
        <v>0</v>
      </c>
      <c r="F127" s="144">
        <f t="shared" si="11"/>
        <v>-3000</v>
      </c>
      <c r="G127" s="128">
        <f t="shared" si="15"/>
        <v>0</v>
      </c>
      <c r="H127" s="129">
        <f t="shared" si="16"/>
        <v>0</v>
      </c>
      <c r="I127" s="91"/>
      <c r="J127" s="130"/>
      <c r="K127" s="130"/>
      <c r="L127" s="109"/>
      <c r="M127" s="109"/>
      <c r="N127" s="109"/>
      <c r="O127" s="130"/>
      <c r="P127" s="130"/>
      <c r="Q127" s="68">
        <v>2381</v>
      </c>
      <c r="R127" s="13">
        <f t="shared" si="14"/>
        <v>2381</v>
      </c>
      <c r="S127" s="7">
        <f t="shared" si="10"/>
        <v>2381</v>
      </c>
    </row>
    <row r="128" spans="1:19" ht="15">
      <c r="A128" s="4" t="s">
        <v>147</v>
      </c>
      <c r="B128" s="109">
        <v>11330</v>
      </c>
      <c r="C128" s="68">
        <v>5311.66</v>
      </c>
      <c r="D128" s="109">
        <v>11250</v>
      </c>
      <c r="E128" s="109">
        <v>5022</v>
      </c>
      <c r="F128" s="144">
        <f t="shared" si="11"/>
        <v>-6308</v>
      </c>
      <c r="G128" s="128">
        <f t="shared" si="15"/>
        <v>408.7908</v>
      </c>
      <c r="H128" s="129">
        <f t="shared" si="16"/>
        <v>608.6664000000001</v>
      </c>
      <c r="I128" s="91"/>
      <c r="J128" s="130"/>
      <c r="K128" s="130"/>
      <c r="L128" s="109"/>
      <c r="M128" s="109"/>
      <c r="N128" s="109"/>
      <c r="O128" s="130"/>
      <c r="P128" s="130"/>
      <c r="Q128" s="68">
        <v>8994</v>
      </c>
      <c r="R128" s="13">
        <f t="shared" si="14"/>
        <v>10011.4572</v>
      </c>
      <c r="S128" s="7">
        <f t="shared" si="10"/>
        <v>4989.457200000001</v>
      </c>
    </row>
    <row r="129" spans="1:19" ht="15">
      <c r="A129" s="4" t="s">
        <v>148</v>
      </c>
      <c r="B129" s="109">
        <v>0</v>
      </c>
      <c r="C129" s="63">
        <v>-306.5</v>
      </c>
      <c r="D129" s="109"/>
      <c r="E129" s="109"/>
      <c r="F129" s="144">
        <f t="shared" si="11"/>
        <v>0</v>
      </c>
      <c r="G129" s="128">
        <f t="shared" si="15"/>
        <v>0</v>
      </c>
      <c r="H129" s="129">
        <f t="shared" si="16"/>
        <v>0</v>
      </c>
      <c r="I129" s="91"/>
      <c r="J129" s="130"/>
      <c r="K129" s="130"/>
      <c r="L129" s="130"/>
      <c r="M129" s="130"/>
      <c r="N129" s="130"/>
      <c r="O129" s="130"/>
      <c r="P129" s="130"/>
      <c r="Q129" s="68"/>
      <c r="R129" s="13">
        <f t="shared" si="14"/>
        <v>0</v>
      </c>
      <c r="S129" s="7">
        <f t="shared" si="10"/>
        <v>0</v>
      </c>
    </row>
    <row r="130" spans="1:19" ht="15">
      <c r="A130" s="46" t="s">
        <v>56</v>
      </c>
      <c r="B130" s="91"/>
      <c r="C130" s="90"/>
      <c r="D130" s="91"/>
      <c r="E130" s="91"/>
      <c r="F130" s="125">
        <f t="shared" si="11"/>
        <v>0</v>
      </c>
      <c r="G130" s="128">
        <f t="shared" si="15"/>
        <v>0</v>
      </c>
      <c r="H130" s="129">
        <f t="shared" si="16"/>
        <v>0</v>
      </c>
      <c r="I130" s="91"/>
      <c r="J130" s="91"/>
      <c r="K130" s="91"/>
      <c r="L130" s="91"/>
      <c r="M130" s="91"/>
      <c r="N130" s="91"/>
      <c r="O130" s="91"/>
      <c r="P130" s="91"/>
      <c r="Q130" s="91"/>
      <c r="R130" s="13">
        <f t="shared" si="14"/>
        <v>0</v>
      </c>
      <c r="S130" s="7">
        <f t="shared" si="10"/>
        <v>0</v>
      </c>
    </row>
    <row r="131" spans="1:19" ht="15">
      <c r="A131" s="4" t="s">
        <v>149</v>
      </c>
      <c r="B131" s="109">
        <v>3000</v>
      </c>
      <c r="C131" s="63">
        <v>280</v>
      </c>
      <c r="D131" s="109">
        <v>500</v>
      </c>
      <c r="E131" s="109">
        <v>500</v>
      </c>
      <c r="F131" s="144">
        <f>+E131-B131</f>
        <v>-2500</v>
      </c>
      <c r="G131" s="128">
        <f t="shared" si="15"/>
        <v>40.7</v>
      </c>
      <c r="H131" s="129">
        <f t="shared" si="16"/>
        <v>60.6</v>
      </c>
      <c r="I131" s="91"/>
      <c r="J131" s="130"/>
      <c r="K131" s="130"/>
      <c r="L131" s="109"/>
      <c r="M131" s="109"/>
      <c r="N131" s="109"/>
      <c r="O131" s="109"/>
      <c r="P131" s="130"/>
      <c r="Q131" s="68">
        <v>2381</v>
      </c>
      <c r="R131" s="13">
        <f t="shared" si="14"/>
        <v>2482.3</v>
      </c>
      <c r="S131" s="7">
        <f t="shared" si="10"/>
        <v>1982.3000000000002</v>
      </c>
    </row>
    <row r="132" spans="1:19" ht="15.75" thickBot="1">
      <c r="A132" s="52" t="s">
        <v>57</v>
      </c>
      <c r="B132" s="112"/>
      <c r="C132" s="65">
        <v>441.6</v>
      </c>
      <c r="D132" s="112"/>
      <c r="E132" s="112"/>
      <c r="F132" s="162">
        <f>+E132-B132</f>
        <v>0</v>
      </c>
      <c r="G132" s="141">
        <f>+E132*0.0861</f>
        <v>0</v>
      </c>
      <c r="H132" s="186">
        <f>+E132*0.1201</f>
        <v>0</v>
      </c>
      <c r="I132" s="111"/>
      <c r="J132" s="148"/>
      <c r="K132" s="148"/>
      <c r="L132" s="148"/>
      <c r="M132" s="148"/>
      <c r="N132" s="148"/>
      <c r="O132" s="148"/>
      <c r="P132" s="148"/>
      <c r="Q132" s="163"/>
      <c r="R132" s="13">
        <f t="shared" si="14"/>
        <v>0</v>
      </c>
      <c r="S132" s="7"/>
    </row>
    <row r="133" spans="1:19" ht="15.75" thickBot="1">
      <c r="A133" s="48" t="s">
        <v>6</v>
      </c>
      <c r="B133" s="57">
        <f>SUM(B67:B132)</f>
        <v>749365</v>
      </c>
      <c r="C133" s="164">
        <f aca="true" t="shared" si="17" ref="C133:Q133">SUM(C67:C132)</f>
        <v>333167.85599999997</v>
      </c>
      <c r="D133" s="57">
        <f t="shared" si="17"/>
        <v>823523.4481068001</v>
      </c>
      <c r="E133" s="57">
        <f t="shared" si="17"/>
        <v>738198.32</v>
      </c>
      <c r="F133" s="166">
        <f t="shared" si="17"/>
        <v>-11166.68</v>
      </c>
      <c r="G133" s="86">
        <f t="shared" si="17"/>
        <v>190836.64710000006</v>
      </c>
      <c r="H133" s="79">
        <f t="shared" si="17"/>
        <v>179809.73412</v>
      </c>
      <c r="I133" s="40">
        <f t="shared" si="17"/>
        <v>0</v>
      </c>
      <c r="J133" s="57">
        <f t="shared" si="17"/>
        <v>0</v>
      </c>
      <c r="K133" s="57">
        <f t="shared" si="17"/>
        <v>0</v>
      </c>
      <c r="L133" s="57">
        <f t="shared" si="17"/>
        <v>0</v>
      </c>
      <c r="M133" s="57">
        <f t="shared" si="17"/>
        <v>0</v>
      </c>
      <c r="N133" s="57">
        <f t="shared" si="17"/>
        <v>0</v>
      </c>
      <c r="O133" s="57">
        <f t="shared" si="17"/>
        <v>0</v>
      </c>
      <c r="P133" s="57">
        <f t="shared" si="17"/>
        <v>0</v>
      </c>
      <c r="Q133" s="57">
        <f t="shared" si="17"/>
        <v>412430</v>
      </c>
      <c r="R133" s="15">
        <f>SUM(G133:Q133)-1</f>
        <v>783075.3812200001</v>
      </c>
      <c r="S133" s="7">
        <f>+R133-E133</f>
        <v>44877.06122000015</v>
      </c>
    </row>
    <row r="134" spans="1:18" ht="18">
      <c r="A134" s="69"/>
      <c r="B134" s="104" t="s">
        <v>61</v>
      </c>
      <c r="C134" s="104" t="s">
        <v>105</v>
      </c>
      <c r="D134" s="104" t="s">
        <v>61</v>
      </c>
      <c r="E134" s="104" t="s">
        <v>61</v>
      </c>
      <c r="F134" s="118" t="s">
        <v>113</v>
      </c>
      <c r="G134" s="87" t="s">
        <v>63</v>
      </c>
      <c r="H134" s="80" t="s">
        <v>64</v>
      </c>
      <c r="I134" s="58" t="s">
        <v>66</v>
      </c>
      <c r="J134" s="59" t="s">
        <v>65</v>
      </c>
      <c r="K134" s="59" t="s">
        <v>67</v>
      </c>
      <c r="L134" s="59" t="s">
        <v>68</v>
      </c>
      <c r="M134" s="59" t="s">
        <v>69</v>
      </c>
      <c r="N134" s="59" t="s">
        <v>70</v>
      </c>
      <c r="O134" s="59" t="s">
        <v>71</v>
      </c>
      <c r="P134" s="59" t="s">
        <v>72</v>
      </c>
      <c r="Q134" s="59" t="s">
        <v>114</v>
      </c>
      <c r="R134" s="7"/>
    </row>
    <row r="135" spans="1:18" ht="18.75" thickBot="1">
      <c r="A135" s="72"/>
      <c r="B135" s="106" t="str">
        <f>+B4</f>
        <v>2019-2020</v>
      </c>
      <c r="C135" s="105" t="str">
        <f>+C4</f>
        <v>Jul-Dec</v>
      </c>
      <c r="D135" s="106" t="str">
        <f>+D4</f>
        <v>2020-2021</v>
      </c>
      <c r="E135" s="106" t="str">
        <f>+E4</f>
        <v>2020-2021</v>
      </c>
      <c r="F135" s="119" t="s">
        <v>112</v>
      </c>
      <c r="G135" s="84" t="s">
        <v>73</v>
      </c>
      <c r="H135" s="77" t="s">
        <v>74</v>
      </c>
      <c r="I135" s="39" t="s">
        <v>74</v>
      </c>
      <c r="J135" s="8" t="s">
        <v>74</v>
      </c>
      <c r="K135" s="8" t="s">
        <v>74</v>
      </c>
      <c r="L135" s="8" t="s">
        <v>75</v>
      </c>
      <c r="M135" s="8" t="s">
        <v>75</v>
      </c>
      <c r="N135" s="8" t="s">
        <v>75</v>
      </c>
      <c r="O135" s="8" t="s">
        <v>76</v>
      </c>
      <c r="P135" s="8" t="s">
        <v>74</v>
      </c>
      <c r="Q135" s="8" t="s">
        <v>75</v>
      </c>
      <c r="R135" s="9" t="s">
        <v>116</v>
      </c>
    </row>
    <row r="136" spans="1:19" ht="15">
      <c r="A136" s="73" t="s">
        <v>58</v>
      </c>
      <c r="B136" s="18">
        <f>B61</f>
        <v>749365</v>
      </c>
      <c r="C136" s="18">
        <f>C61</f>
        <v>385784.11000000004</v>
      </c>
      <c r="D136" s="18">
        <f>D61</f>
        <v>823523</v>
      </c>
      <c r="E136" s="18">
        <f>E61</f>
        <v>738198</v>
      </c>
      <c r="F136" s="157">
        <f>+E136-B136</f>
        <v>-11167</v>
      </c>
      <c r="G136" s="86">
        <f aca="true" t="shared" si="18" ref="G136:R136">G61</f>
        <v>190480</v>
      </c>
      <c r="H136" s="79">
        <f t="shared" si="18"/>
        <v>180081</v>
      </c>
      <c r="I136" s="40">
        <f t="shared" si="18"/>
        <v>0</v>
      </c>
      <c r="J136" s="18">
        <f t="shared" si="18"/>
        <v>0</v>
      </c>
      <c r="K136" s="18">
        <f t="shared" si="18"/>
        <v>0</v>
      </c>
      <c r="L136" s="18">
        <f t="shared" si="18"/>
        <v>0</v>
      </c>
      <c r="M136" s="18">
        <f t="shared" si="18"/>
        <v>0</v>
      </c>
      <c r="N136" s="18">
        <f t="shared" si="18"/>
        <v>0</v>
      </c>
      <c r="O136" s="18">
        <f t="shared" si="18"/>
        <v>0</v>
      </c>
      <c r="P136" s="18">
        <f t="shared" si="18"/>
        <v>0</v>
      </c>
      <c r="Q136" s="18">
        <f t="shared" si="18"/>
        <v>414050</v>
      </c>
      <c r="R136" s="18">
        <f t="shared" si="18"/>
        <v>784611</v>
      </c>
      <c r="S136" s="7">
        <f>+R136-E136</f>
        <v>46413</v>
      </c>
    </row>
    <row r="137" spans="1:19" ht="15.75" thickBot="1">
      <c r="A137" s="73" t="s">
        <v>59</v>
      </c>
      <c r="B137" s="19">
        <f>B133</f>
        <v>749365</v>
      </c>
      <c r="C137" s="19">
        <f>C133</f>
        <v>333167.85599999997</v>
      </c>
      <c r="D137" s="19">
        <f>D133</f>
        <v>823523.4481068001</v>
      </c>
      <c r="E137" s="19">
        <f>E133</f>
        <v>738198.32</v>
      </c>
      <c r="F137" s="170">
        <f>+E137-B137</f>
        <v>-11166.680000000051</v>
      </c>
      <c r="G137" s="88">
        <f aca="true" t="shared" si="19" ref="G137:R137">G133</f>
        <v>190836.64710000006</v>
      </c>
      <c r="H137" s="81">
        <f t="shared" si="19"/>
        <v>179809.73412</v>
      </c>
      <c r="I137" s="41">
        <f t="shared" si="19"/>
        <v>0</v>
      </c>
      <c r="J137" s="19">
        <f>J133</f>
        <v>0</v>
      </c>
      <c r="K137" s="19">
        <f t="shared" si="19"/>
        <v>0</v>
      </c>
      <c r="L137" s="19">
        <f t="shared" si="19"/>
        <v>0</v>
      </c>
      <c r="M137" s="19">
        <f t="shared" si="19"/>
        <v>0</v>
      </c>
      <c r="N137" s="19">
        <f t="shared" si="19"/>
        <v>0</v>
      </c>
      <c r="O137" s="19">
        <f t="shared" si="19"/>
        <v>0</v>
      </c>
      <c r="P137" s="19">
        <f t="shared" si="19"/>
        <v>0</v>
      </c>
      <c r="Q137" s="19">
        <f>Q133</f>
        <v>412430</v>
      </c>
      <c r="R137" s="19">
        <f t="shared" si="19"/>
        <v>783075.3812200001</v>
      </c>
      <c r="S137" s="7">
        <f>+R137-E137</f>
        <v>44877.06122000015</v>
      </c>
    </row>
    <row r="138" spans="1:19" ht="15.75" thickBot="1">
      <c r="A138" s="74" t="s">
        <v>60</v>
      </c>
      <c r="B138" s="114">
        <f aca="true" t="shared" si="20" ref="B138:P138">+B136-B137</f>
        <v>0</v>
      </c>
      <c r="C138" s="114">
        <f t="shared" si="20"/>
        <v>52616.25400000007</v>
      </c>
      <c r="D138" s="114">
        <f t="shared" si="20"/>
        <v>-0.44810680008959025</v>
      </c>
      <c r="E138" s="114">
        <f t="shared" si="20"/>
        <v>-0.31999999994877726</v>
      </c>
      <c r="F138" s="172">
        <f t="shared" si="20"/>
        <v>-0.31999999994877726</v>
      </c>
      <c r="G138" s="89">
        <f t="shared" si="20"/>
        <v>-356.64710000006016</v>
      </c>
      <c r="H138" s="82">
        <f t="shared" si="20"/>
        <v>271.26587999999174</v>
      </c>
      <c r="I138" s="42">
        <f t="shared" si="20"/>
        <v>0</v>
      </c>
      <c r="J138" s="20">
        <f t="shared" si="20"/>
        <v>0</v>
      </c>
      <c r="K138" s="20">
        <f t="shared" si="20"/>
        <v>0</v>
      </c>
      <c r="L138" s="20">
        <f t="shared" si="20"/>
        <v>0</v>
      </c>
      <c r="M138" s="20">
        <f t="shared" si="20"/>
        <v>0</v>
      </c>
      <c r="N138" s="20">
        <f t="shared" si="20"/>
        <v>0</v>
      </c>
      <c r="O138" s="20">
        <f t="shared" si="20"/>
        <v>0</v>
      </c>
      <c r="P138" s="20">
        <f t="shared" si="20"/>
        <v>0</v>
      </c>
      <c r="Q138" s="20">
        <f>+Q136-Q137</f>
        <v>1620</v>
      </c>
      <c r="R138" s="20">
        <f>+R136-R137</f>
        <v>1535.6187799999025</v>
      </c>
      <c r="S138" s="7">
        <f>+R138-E138</f>
        <v>1535.9387799998512</v>
      </c>
    </row>
    <row r="139" ht="14.25">
      <c r="B139" s="173"/>
    </row>
    <row r="140" spans="7:8" ht="14.25">
      <c r="G140">
        <v>90332</v>
      </c>
      <c r="H140">
        <v>73022</v>
      </c>
    </row>
    <row r="142" spans="7:8" ht="14.25">
      <c r="G142">
        <v>160398</v>
      </c>
      <c r="H142">
        <v>165943</v>
      </c>
    </row>
    <row r="143" ht="14.25">
      <c r="B143" s="174"/>
    </row>
    <row r="144" ht="14.25">
      <c r="B144" s="174"/>
    </row>
    <row r="145" ht="14.25">
      <c r="B145" s="174"/>
    </row>
    <row r="146" spans="1:19" s="7" customFormat="1" ht="14.25">
      <c r="A146"/>
      <c r="B146" s="174"/>
      <c r="D146" s="103"/>
      <c r="E146" s="103"/>
      <c r="F146" s="103"/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72" spans="1:19" s="7" customFormat="1" ht="14.25">
      <c r="A172"/>
      <c r="B172" s="174"/>
      <c r="D172" s="103"/>
      <c r="E172" s="103"/>
      <c r="F172" s="103"/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1:19" s="7" customFormat="1" ht="14.25">
      <c r="A173"/>
      <c r="B173" s="174"/>
      <c r="D173" s="103"/>
      <c r="E173" s="103"/>
      <c r="F173" s="103"/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1:19" s="7" customFormat="1" ht="14.25">
      <c r="A174"/>
      <c r="B174" s="174"/>
      <c r="D174" s="103"/>
      <c r="E174" s="103"/>
      <c r="F174" s="103"/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1:19" s="7" customFormat="1" ht="14.25">
      <c r="A175"/>
      <c r="B175" s="174"/>
      <c r="D175" s="103"/>
      <c r="E175" s="103"/>
      <c r="F175" s="103"/>
      <c r="G175"/>
      <c r="H175"/>
      <c r="I175"/>
      <c r="J175"/>
      <c r="K175"/>
      <c r="L175"/>
      <c r="M175"/>
      <c r="N175"/>
      <c r="O175"/>
      <c r="P175"/>
      <c r="Q175"/>
      <c r="R175"/>
      <c r="S175"/>
    </row>
    <row r="176" spans="1:19" s="7" customFormat="1" ht="14.25">
      <c r="A176"/>
      <c r="B176" s="174"/>
      <c r="D176" s="103"/>
      <c r="E176" s="103"/>
      <c r="F176" s="103"/>
      <c r="G176"/>
      <c r="H176"/>
      <c r="I176"/>
      <c r="J176"/>
      <c r="K176"/>
      <c r="L176"/>
      <c r="M176"/>
      <c r="N176"/>
      <c r="O176"/>
      <c r="P176"/>
      <c r="Q176"/>
      <c r="R176"/>
      <c r="S176"/>
    </row>
    <row r="177" spans="1:19" s="7" customFormat="1" ht="14.25">
      <c r="A177"/>
      <c r="B177" s="174"/>
      <c r="D177" s="103"/>
      <c r="E177" s="103"/>
      <c r="F177" s="103"/>
      <c r="G177"/>
      <c r="H177"/>
      <c r="I177"/>
      <c r="J177"/>
      <c r="K177"/>
      <c r="L177"/>
      <c r="M177"/>
      <c r="N177"/>
      <c r="O177"/>
      <c r="P177"/>
      <c r="Q177"/>
      <c r="R177"/>
      <c r="S177"/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scale="70" r:id="rId1"/>
  <headerFooter alignWithMargins="0">
    <oddFooter>&amp;L&amp;Z&amp;F&amp;R&amp;"Arial,Bold"Page&amp;P</oddFooter>
  </headerFooter>
  <rowBreaks count="2" manualBreakCount="2">
    <brk id="62" max="7" man="1"/>
    <brk id="119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177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K112" sqref="K112"/>
      <selection pane="topRight" activeCell="K112" sqref="K112"/>
      <selection pane="bottomLeft" activeCell="K112" sqref="K112"/>
      <selection pane="bottomRight" activeCell="A11" sqref="A11"/>
    </sheetView>
  </sheetViews>
  <sheetFormatPr defaultColWidth="9.140625" defaultRowHeight="12.75"/>
  <cols>
    <col min="1" max="1" width="34.421875" style="0" customWidth="1"/>
    <col min="2" max="2" width="13.140625" style="3" customWidth="1"/>
    <col min="3" max="3" width="13.7109375" style="7" hidden="1" customWidth="1"/>
    <col min="4" max="6" width="13.7109375" style="103" customWidth="1"/>
    <col min="7" max="7" width="14.7109375" style="0" hidden="1" customWidth="1"/>
    <col min="8" max="8" width="13.7109375" style="0" hidden="1" customWidth="1"/>
    <col min="9" max="10" width="11.00390625" style="0" hidden="1" customWidth="1"/>
    <col min="11" max="11" width="12.421875" style="0" hidden="1" customWidth="1"/>
    <col min="12" max="12" width="11.7109375" style="0" hidden="1" customWidth="1"/>
    <col min="13" max="13" width="16.28125" style="0" hidden="1" customWidth="1"/>
    <col min="14" max="14" width="14.00390625" style="0" hidden="1" customWidth="1"/>
    <col min="15" max="15" width="13.28125" style="0" hidden="1" customWidth="1"/>
    <col min="16" max="16" width="11.7109375" style="0" hidden="1" customWidth="1"/>
    <col min="17" max="17" width="13.8515625" style="0" hidden="1" customWidth="1"/>
    <col min="18" max="18" width="13.28125" style="0" hidden="1" customWidth="1"/>
    <col min="19" max="19" width="10.57421875" style="0" hidden="1" customWidth="1"/>
  </cols>
  <sheetData>
    <row r="1" spans="1:3" ht="18">
      <c r="A1" s="1" t="s">
        <v>77</v>
      </c>
      <c r="B1" s="115"/>
      <c r="C1" s="62"/>
    </row>
    <row r="2" spans="1:5" ht="18.75" thickBot="1">
      <c r="A2" s="189" t="s">
        <v>213</v>
      </c>
      <c r="B2" s="190"/>
      <c r="C2" s="190"/>
      <c r="D2" s="190"/>
      <c r="E2" s="190"/>
    </row>
    <row r="3" spans="1:18" ht="18">
      <c r="A3" s="69"/>
      <c r="B3" s="104" t="s">
        <v>123</v>
      </c>
      <c r="C3" s="104" t="s">
        <v>105</v>
      </c>
      <c r="D3" s="104" t="s">
        <v>201</v>
      </c>
      <c r="E3" s="104" t="s">
        <v>202</v>
      </c>
      <c r="F3" s="118" t="s">
        <v>113</v>
      </c>
      <c r="G3" s="83" t="s">
        <v>63</v>
      </c>
      <c r="H3" s="76" t="s">
        <v>64</v>
      </c>
      <c r="I3" s="38" t="s">
        <v>66</v>
      </c>
      <c r="J3" s="6" t="s">
        <v>65</v>
      </c>
      <c r="K3" s="6" t="s">
        <v>67</v>
      </c>
      <c r="L3" s="6" t="s">
        <v>68</v>
      </c>
      <c r="M3" s="6" t="s">
        <v>69</v>
      </c>
      <c r="N3" s="6" t="s">
        <v>70</v>
      </c>
      <c r="O3" s="6" t="s">
        <v>71</v>
      </c>
      <c r="P3" s="6" t="s">
        <v>72</v>
      </c>
      <c r="Q3" s="6" t="s">
        <v>114</v>
      </c>
      <c r="R3" s="7"/>
    </row>
    <row r="4" spans="1:18" ht="18.75" thickBot="1">
      <c r="A4" s="2"/>
      <c r="B4" s="106" t="s">
        <v>179</v>
      </c>
      <c r="C4" s="106" t="s">
        <v>111</v>
      </c>
      <c r="D4" s="106" t="s">
        <v>188</v>
      </c>
      <c r="E4" s="106" t="s">
        <v>188</v>
      </c>
      <c r="F4" s="119" t="s">
        <v>112</v>
      </c>
      <c r="G4" s="84" t="s">
        <v>73</v>
      </c>
      <c r="H4" s="77" t="s">
        <v>74</v>
      </c>
      <c r="I4" s="39" t="s">
        <v>74</v>
      </c>
      <c r="J4" s="8" t="s">
        <v>74</v>
      </c>
      <c r="K4" s="8" t="s">
        <v>74</v>
      </c>
      <c r="L4" s="8" t="s">
        <v>75</v>
      </c>
      <c r="M4" s="8" t="s">
        <v>75</v>
      </c>
      <c r="N4" s="8" t="s">
        <v>75</v>
      </c>
      <c r="O4" s="8" t="s">
        <v>76</v>
      </c>
      <c r="P4" s="8" t="s">
        <v>74</v>
      </c>
      <c r="Q4" s="8" t="s">
        <v>75</v>
      </c>
      <c r="R4" s="9" t="s">
        <v>116</v>
      </c>
    </row>
    <row r="5" spans="1:18" ht="18.75" thickBot="1">
      <c r="A5" s="56" t="s">
        <v>0</v>
      </c>
      <c r="B5" s="120"/>
      <c r="C5" s="121"/>
      <c r="D5" s="120"/>
      <c r="E5" s="120"/>
      <c r="F5" s="123"/>
      <c r="G5" s="85"/>
      <c r="H5" s="78"/>
      <c r="I5" s="53"/>
      <c r="J5" s="54"/>
      <c r="K5" s="54"/>
      <c r="L5" s="54"/>
      <c r="M5" s="54"/>
      <c r="N5" s="54"/>
      <c r="O5" s="54"/>
      <c r="P5" s="54"/>
      <c r="Q5" s="54"/>
      <c r="R5" s="55"/>
    </row>
    <row r="6" spans="1:18" ht="15">
      <c r="A6" s="46" t="s">
        <v>1</v>
      </c>
      <c r="B6" s="91"/>
      <c r="C6" s="91"/>
      <c r="D6" s="91"/>
      <c r="E6" s="91"/>
      <c r="F6" s="125"/>
      <c r="G6" s="86"/>
      <c r="H6" s="79"/>
      <c r="I6" s="40"/>
      <c r="J6" s="40"/>
      <c r="K6" s="40"/>
      <c r="L6" s="40"/>
      <c r="M6" s="40"/>
      <c r="N6" s="40"/>
      <c r="O6" s="40"/>
      <c r="P6" s="40"/>
      <c r="Q6" s="40"/>
      <c r="R6" s="10"/>
    </row>
    <row r="7" spans="1:19" ht="15">
      <c r="A7" s="47" t="s">
        <v>2</v>
      </c>
      <c r="B7" s="68">
        <v>459500</v>
      </c>
      <c r="C7" s="63">
        <v>229750</v>
      </c>
      <c r="D7" s="68">
        <v>492000</v>
      </c>
      <c r="E7" s="68">
        <v>397859</v>
      </c>
      <c r="F7" s="127">
        <f>+E7-B7</f>
        <v>-61641</v>
      </c>
      <c r="G7" s="128">
        <v>108880</v>
      </c>
      <c r="H7" s="129">
        <v>76481</v>
      </c>
      <c r="I7" s="91"/>
      <c r="J7" s="68"/>
      <c r="K7" s="130"/>
      <c r="L7" s="68"/>
      <c r="M7" s="68"/>
      <c r="N7" s="68"/>
      <c r="O7" s="68"/>
      <c r="P7" s="68"/>
      <c r="Q7" s="68">
        <v>286462</v>
      </c>
      <c r="R7" s="11">
        <f aca="true" t="shared" si="0" ref="R7:R78">SUM(G7:Q7)</f>
        <v>471823</v>
      </c>
      <c r="S7" s="7">
        <f aca="true" t="shared" si="1" ref="S7:S62">+R7-E7</f>
        <v>73964</v>
      </c>
    </row>
    <row r="8" spans="1:19" ht="15">
      <c r="A8" s="47" t="s">
        <v>3</v>
      </c>
      <c r="B8" s="68">
        <v>35000</v>
      </c>
      <c r="C8" s="63">
        <v>16500</v>
      </c>
      <c r="D8" s="68">
        <v>40000</v>
      </c>
      <c r="E8" s="68">
        <v>28249</v>
      </c>
      <c r="F8" s="127">
        <f>+E8-B8</f>
        <v>-6751</v>
      </c>
      <c r="G8" s="128">
        <v>15000</v>
      </c>
      <c r="H8" s="129">
        <v>25000</v>
      </c>
      <c r="I8" s="91"/>
      <c r="J8" s="130"/>
      <c r="K8" s="130"/>
      <c r="L8" s="130"/>
      <c r="M8" s="130"/>
      <c r="N8" s="130"/>
      <c r="O8" s="130"/>
      <c r="P8" s="130"/>
      <c r="Q8" s="68"/>
      <c r="R8" s="7">
        <f t="shared" si="0"/>
        <v>40000</v>
      </c>
      <c r="S8" s="7">
        <f t="shared" si="1"/>
        <v>11751</v>
      </c>
    </row>
    <row r="9" spans="1:19" ht="15">
      <c r="A9" s="47" t="s">
        <v>4</v>
      </c>
      <c r="B9" s="109">
        <v>20050</v>
      </c>
      <c r="C9" s="63">
        <v>10026</v>
      </c>
      <c r="D9" s="109">
        <v>20050</v>
      </c>
      <c r="E9" s="109">
        <v>20050</v>
      </c>
      <c r="F9" s="127">
        <f>+E9-B9</f>
        <v>0</v>
      </c>
      <c r="G9" s="128"/>
      <c r="H9" s="129"/>
      <c r="I9" s="91"/>
      <c r="J9" s="130"/>
      <c r="K9" s="130"/>
      <c r="L9" s="68"/>
      <c r="M9" s="68"/>
      <c r="N9" s="68"/>
      <c r="O9" s="68"/>
      <c r="P9" s="130"/>
      <c r="Q9" s="68">
        <v>20050</v>
      </c>
      <c r="R9" s="7">
        <f t="shared" si="0"/>
        <v>20050</v>
      </c>
      <c r="S9" s="7">
        <f t="shared" si="1"/>
        <v>0</v>
      </c>
    </row>
    <row r="10" spans="1:19" ht="15">
      <c r="A10" s="47" t="s">
        <v>211</v>
      </c>
      <c r="B10" s="109">
        <v>0</v>
      </c>
      <c r="C10" s="63"/>
      <c r="D10" s="109">
        <v>0</v>
      </c>
      <c r="E10" s="109">
        <v>12500</v>
      </c>
      <c r="F10" s="127"/>
      <c r="G10" s="128"/>
      <c r="H10" s="129"/>
      <c r="I10" s="91"/>
      <c r="J10" s="130"/>
      <c r="K10" s="130"/>
      <c r="L10" s="68"/>
      <c r="M10" s="68"/>
      <c r="N10" s="68"/>
      <c r="O10" s="68"/>
      <c r="P10" s="130"/>
      <c r="Q10" s="68"/>
      <c r="R10" s="7"/>
      <c r="S10" s="7"/>
    </row>
    <row r="11" spans="1:19" ht="15">
      <c r="A11" s="4" t="s">
        <v>109</v>
      </c>
      <c r="B11" s="109">
        <v>5000</v>
      </c>
      <c r="C11" s="63"/>
      <c r="D11" s="109">
        <v>5000</v>
      </c>
      <c r="E11" s="109">
        <v>2000</v>
      </c>
      <c r="F11" s="127">
        <f>+E11-B11</f>
        <v>-3000</v>
      </c>
      <c r="G11" s="128"/>
      <c r="H11" s="129"/>
      <c r="I11" s="91"/>
      <c r="J11" s="130"/>
      <c r="K11" s="130"/>
      <c r="L11" s="130"/>
      <c r="M11" s="68"/>
      <c r="N11" s="68"/>
      <c r="O11" s="130"/>
      <c r="P11" s="130"/>
      <c r="Q11" s="68"/>
      <c r="R11" s="7">
        <f t="shared" si="0"/>
        <v>0</v>
      </c>
      <c r="S11" s="7">
        <f t="shared" si="1"/>
        <v>-2000</v>
      </c>
    </row>
    <row r="12" spans="1:19" ht="15">
      <c r="A12" s="4" t="s">
        <v>5</v>
      </c>
      <c r="B12" s="109">
        <v>12550</v>
      </c>
      <c r="C12" s="64">
        <v>6279</v>
      </c>
      <c r="D12" s="109">
        <v>12550</v>
      </c>
      <c r="E12" s="109">
        <v>12550</v>
      </c>
      <c r="F12" s="127">
        <f>+E12-B12</f>
        <v>0</v>
      </c>
      <c r="G12" s="128"/>
      <c r="H12" s="129"/>
      <c r="I12" s="91"/>
      <c r="J12" s="130"/>
      <c r="K12" s="130"/>
      <c r="L12" s="68"/>
      <c r="M12" s="68"/>
      <c r="N12" s="68"/>
      <c r="O12" s="68"/>
      <c r="P12" s="130"/>
      <c r="Q12" s="68">
        <v>12550</v>
      </c>
      <c r="R12" s="7">
        <f t="shared" si="0"/>
        <v>12550</v>
      </c>
      <c r="S12" s="7">
        <f t="shared" si="1"/>
        <v>0</v>
      </c>
    </row>
    <row r="13" spans="1:19" ht="15.75" thickBot="1">
      <c r="A13" s="4" t="s">
        <v>207</v>
      </c>
      <c r="B13" s="109"/>
      <c r="C13" s="126"/>
      <c r="D13" s="109"/>
      <c r="E13" s="109">
        <v>52417</v>
      </c>
      <c r="F13" s="127"/>
      <c r="G13" s="128"/>
      <c r="H13" s="129"/>
      <c r="I13" s="91"/>
      <c r="J13" s="130"/>
      <c r="K13" s="130"/>
      <c r="L13" s="68"/>
      <c r="M13" s="68"/>
      <c r="N13" s="68"/>
      <c r="O13" s="68"/>
      <c r="P13" s="130"/>
      <c r="Q13" s="68"/>
      <c r="R13" s="7"/>
      <c r="S13" s="7"/>
    </row>
    <row r="14" spans="1:19" ht="15.75" thickBot="1">
      <c r="A14" s="48" t="s">
        <v>6</v>
      </c>
      <c r="B14" s="110">
        <f>SUM(B7:B12)</f>
        <v>532100</v>
      </c>
      <c r="C14" s="43">
        <f>SUM(C7:C12)</f>
        <v>262555</v>
      </c>
      <c r="D14" s="110">
        <f>SUM(D7:D12)</f>
        <v>569600</v>
      </c>
      <c r="E14" s="110">
        <f>SUM(E7:E13)</f>
        <v>525625</v>
      </c>
      <c r="F14" s="132">
        <f aca="true" t="shared" si="2" ref="F14:Q14">SUM(F7:F12)</f>
        <v>-71392</v>
      </c>
      <c r="G14" s="133">
        <f t="shared" si="2"/>
        <v>123880</v>
      </c>
      <c r="H14" s="134">
        <f t="shared" si="2"/>
        <v>101481</v>
      </c>
      <c r="I14" s="135">
        <f t="shared" si="2"/>
        <v>0</v>
      </c>
      <c r="J14" s="136">
        <f t="shared" si="2"/>
        <v>0</v>
      </c>
      <c r="K14" s="136">
        <f t="shared" si="2"/>
        <v>0</v>
      </c>
      <c r="L14" s="136">
        <f t="shared" si="2"/>
        <v>0</v>
      </c>
      <c r="M14" s="136">
        <f t="shared" si="2"/>
        <v>0</v>
      </c>
      <c r="N14" s="136">
        <f t="shared" si="2"/>
        <v>0</v>
      </c>
      <c r="O14" s="136">
        <f t="shared" si="2"/>
        <v>0</v>
      </c>
      <c r="P14" s="136">
        <f t="shared" si="2"/>
        <v>0</v>
      </c>
      <c r="Q14" s="110">
        <f t="shared" si="2"/>
        <v>319062</v>
      </c>
      <c r="R14" s="12">
        <f t="shared" si="0"/>
        <v>544423</v>
      </c>
      <c r="S14" s="7">
        <f t="shared" si="1"/>
        <v>18798</v>
      </c>
    </row>
    <row r="15" spans="1:19" ht="15">
      <c r="A15" s="46" t="s">
        <v>7</v>
      </c>
      <c r="B15" s="91"/>
      <c r="C15" s="137"/>
      <c r="D15" s="91"/>
      <c r="E15" s="91"/>
      <c r="F15" s="125"/>
      <c r="G15" s="128"/>
      <c r="H15" s="129"/>
      <c r="I15" s="91"/>
      <c r="J15" s="91"/>
      <c r="K15" s="91"/>
      <c r="L15" s="91"/>
      <c r="M15" s="91"/>
      <c r="N15" s="91"/>
      <c r="O15" s="91"/>
      <c r="P15" s="91"/>
      <c r="Q15" s="91"/>
      <c r="R15" s="13">
        <f t="shared" si="0"/>
        <v>0</v>
      </c>
      <c r="S15" s="7">
        <f t="shared" si="1"/>
        <v>0</v>
      </c>
    </row>
    <row r="16" spans="1:19" ht="15">
      <c r="A16" s="46" t="s">
        <v>8</v>
      </c>
      <c r="B16" s="91"/>
      <c r="C16" s="137"/>
      <c r="D16" s="91"/>
      <c r="E16" s="91"/>
      <c r="F16" s="125"/>
      <c r="G16" s="128"/>
      <c r="H16" s="129"/>
      <c r="I16" s="91"/>
      <c r="J16" s="91"/>
      <c r="K16" s="91"/>
      <c r="L16" s="91"/>
      <c r="M16" s="91"/>
      <c r="N16" s="91"/>
      <c r="O16" s="91"/>
      <c r="P16" s="91"/>
      <c r="Q16" s="91"/>
      <c r="R16" s="13">
        <f t="shared" si="0"/>
        <v>0</v>
      </c>
      <c r="S16" s="7">
        <f t="shared" si="1"/>
        <v>0</v>
      </c>
    </row>
    <row r="17" spans="1:19" ht="15.75" thickBot="1">
      <c r="A17" s="46" t="s">
        <v>9</v>
      </c>
      <c r="B17" s="111"/>
      <c r="C17" s="138"/>
      <c r="D17" s="111"/>
      <c r="E17" s="111"/>
      <c r="F17" s="140"/>
      <c r="G17" s="141"/>
      <c r="H17" s="142"/>
      <c r="I17" s="111"/>
      <c r="J17" s="111"/>
      <c r="K17" s="111"/>
      <c r="L17" s="111"/>
      <c r="M17" s="111"/>
      <c r="N17" s="111"/>
      <c r="O17" s="111"/>
      <c r="P17" s="111"/>
      <c r="Q17" s="143"/>
      <c r="R17" s="14">
        <f t="shared" si="0"/>
        <v>0</v>
      </c>
      <c r="S17" s="7">
        <f t="shared" si="1"/>
        <v>0</v>
      </c>
    </row>
    <row r="18" spans="1:19" ht="15">
      <c r="A18" s="4" t="s">
        <v>99</v>
      </c>
      <c r="B18" s="109"/>
      <c r="C18" s="66"/>
      <c r="D18" s="109"/>
      <c r="E18" s="109"/>
      <c r="F18" s="127"/>
      <c r="G18" s="128"/>
      <c r="H18" s="129"/>
      <c r="I18" s="91"/>
      <c r="J18" s="130"/>
      <c r="K18" s="130"/>
      <c r="L18" s="130"/>
      <c r="M18" s="130"/>
      <c r="N18" s="130"/>
      <c r="O18" s="130"/>
      <c r="P18" s="130"/>
      <c r="Q18" s="68">
        <v>0</v>
      </c>
      <c r="R18" s="7">
        <f t="shared" si="0"/>
        <v>0</v>
      </c>
      <c r="S18" s="7">
        <f t="shared" si="1"/>
        <v>0</v>
      </c>
    </row>
    <row r="19" spans="1:19" ht="15">
      <c r="A19" s="4" t="s">
        <v>100</v>
      </c>
      <c r="B19" s="109"/>
      <c r="C19" s="64"/>
      <c r="D19" s="109"/>
      <c r="E19" s="109"/>
      <c r="F19" s="127">
        <f aca="true" t="shared" si="3" ref="F19:F24">+E19-D19</f>
        <v>0</v>
      </c>
      <c r="G19" s="128"/>
      <c r="H19" s="129"/>
      <c r="I19" s="91"/>
      <c r="J19" s="130"/>
      <c r="K19" s="130"/>
      <c r="L19" s="130"/>
      <c r="M19" s="130"/>
      <c r="N19" s="130"/>
      <c r="O19" s="130"/>
      <c r="P19" s="130"/>
      <c r="Q19" s="68">
        <f>+E19-G19-H19</f>
        <v>0</v>
      </c>
      <c r="R19" s="7">
        <f t="shared" si="0"/>
        <v>0</v>
      </c>
      <c r="S19" s="7">
        <f t="shared" si="1"/>
        <v>0</v>
      </c>
    </row>
    <row r="20" spans="1:19" ht="15">
      <c r="A20" s="4" t="s">
        <v>115</v>
      </c>
      <c r="B20" s="109"/>
      <c r="C20" s="64"/>
      <c r="D20" s="109"/>
      <c r="E20" s="109"/>
      <c r="F20" s="127">
        <f t="shared" si="3"/>
        <v>0</v>
      </c>
      <c r="G20" s="128"/>
      <c r="H20" s="129"/>
      <c r="I20" s="91"/>
      <c r="J20" s="130"/>
      <c r="K20" s="130"/>
      <c r="L20" s="130"/>
      <c r="M20" s="130"/>
      <c r="N20" s="130"/>
      <c r="O20" s="130"/>
      <c r="P20" s="130"/>
      <c r="Q20" s="68">
        <f>+E20-G20-H20</f>
        <v>0</v>
      </c>
      <c r="R20" s="7">
        <f t="shared" si="0"/>
        <v>0</v>
      </c>
      <c r="S20" s="7">
        <f t="shared" si="1"/>
        <v>0</v>
      </c>
    </row>
    <row r="21" spans="1:19" ht="15">
      <c r="A21" s="4" t="s">
        <v>101</v>
      </c>
      <c r="B21" s="109"/>
      <c r="C21" s="64"/>
      <c r="D21" s="109"/>
      <c r="E21" s="109"/>
      <c r="F21" s="127">
        <f t="shared" si="3"/>
        <v>0</v>
      </c>
      <c r="G21" s="128"/>
      <c r="H21" s="129"/>
      <c r="I21" s="91"/>
      <c r="J21" s="130"/>
      <c r="K21" s="130"/>
      <c r="L21" s="130"/>
      <c r="M21" s="130"/>
      <c r="N21" s="130"/>
      <c r="O21" s="130"/>
      <c r="P21" s="130"/>
      <c r="Q21" s="68">
        <f>+E21-G21-H21</f>
        <v>0</v>
      </c>
      <c r="R21" s="7">
        <f t="shared" si="0"/>
        <v>0</v>
      </c>
      <c r="S21" s="7">
        <f t="shared" si="1"/>
        <v>0</v>
      </c>
    </row>
    <row r="22" spans="1:19" ht="15">
      <c r="A22" s="4" t="s">
        <v>102</v>
      </c>
      <c r="B22" s="109"/>
      <c r="C22" s="64"/>
      <c r="D22" s="109"/>
      <c r="E22" s="109"/>
      <c r="F22" s="127">
        <f t="shared" si="3"/>
        <v>0</v>
      </c>
      <c r="G22" s="128"/>
      <c r="H22" s="129"/>
      <c r="I22" s="91"/>
      <c r="J22" s="130"/>
      <c r="K22" s="130"/>
      <c r="L22" s="130"/>
      <c r="M22" s="130"/>
      <c r="N22" s="130"/>
      <c r="O22" s="130"/>
      <c r="P22" s="130"/>
      <c r="Q22" s="68">
        <v>0</v>
      </c>
      <c r="R22" s="7">
        <f t="shared" si="0"/>
        <v>0</v>
      </c>
      <c r="S22" s="7">
        <f t="shared" si="1"/>
        <v>0</v>
      </c>
    </row>
    <row r="23" spans="1:19" ht="15">
      <c r="A23" s="4" t="s">
        <v>106</v>
      </c>
      <c r="B23" s="109"/>
      <c r="C23" s="64"/>
      <c r="D23" s="109"/>
      <c r="E23" s="109"/>
      <c r="F23" s="144">
        <f t="shared" si="3"/>
        <v>0</v>
      </c>
      <c r="G23" s="128"/>
      <c r="H23" s="129"/>
      <c r="I23" s="91"/>
      <c r="J23" s="130"/>
      <c r="K23" s="130"/>
      <c r="L23" s="130"/>
      <c r="M23" s="130"/>
      <c r="N23" s="130"/>
      <c r="O23" s="130"/>
      <c r="P23" s="130"/>
      <c r="Q23" s="68"/>
      <c r="R23" s="7"/>
      <c r="S23" s="7"/>
    </row>
    <row r="24" spans="1:19" ht="15">
      <c r="A24" s="4" t="s">
        <v>158</v>
      </c>
      <c r="B24" s="109"/>
      <c r="C24" s="64"/>
      <c r="D24" s="109"/>
      <c r="E24" s="109"/>
      <c r="F24" s="144">
        <f t="shared" si="3"/>
        <v>0</v>
      </c>
      <c r="G24" s="128"/>
      <c r="H24" s="129"/>
      <c r="I24" s="91"/>
      <c r="J24" s="130"/>
      <c r="K24" s="130"/>
      <c r="L24" s="130"/>
      <c r="M24" s="130"/>
      <c r="N24" s="130"/>
      <c r="O24" s="130"/>
      <c r="P24" s="130"/>
      <c r="Q24" s="68"/>
      <c r="R24" s="7"/>
      <c r="S24" s="7"/>
    </row>
    <row r="25" spans="1:19" ht="15.75" thickBot="1">
      <c r="A25" s="4" t="s">
        <v>103</v>
      </c>
      <c r="B25" s="109"/>
      <c r="C25" s="67"/>
      <c r="D25" s="109"/>
      <c r="E25" s="109"/>
      <c r="F25" s="127"/>
      <c r="G25" s="128"/>
      <c r="H25" s="129"/>
      <c r="I25" s="91"/>
      <c r="J25" s="130"/>
      <c r="K25" s="68"/>
      <c r="L25" s="130"/>
      <c r="M25" s="130"/>
      <c r="N25" s="130"/>
      <c r="O25" s="130"/>
      <c r="P25" s="130"/>
      <c r="Q25" s="68">
        <v>0</v>
      </c>
      <c r="R25" s="7">
        <f t="shared" si="0"/>
        <v>0</v>
      </c>
      <c r="S25" s="7">
        <f t="shared" si="1"/>
        <v>0</v>
      </c>
    </row>
    <row r="26" spans="1:19" ht="15.75" thickBot="1">
      <c r="A26" s="48" t="s">
        <v>6</v>
      </c>
      <c r="B26" s="43">
        <v>13000</v>
      </c>
      <c r="C26" s="43">
        <v>25478.06</v>
      </c>
      <c r="D26" s="43">
        <v>15000</v>
      </c>
      <c r="E26" s="43">
        <v>15000</v>
      </c>
      <c r="F26" s="132">
        <f>+E26-B26</f>
        <v>2000</v>
      </c>
      <c r="G26" s="133">
        <f aca="true" t="shared" si="4" ref="G26:P26">SUM(G17:G25)</f>
        <v>0</v>
      </c>
      <c r="H26" s="134">
        <f t="shared" si="4"/>
        <v>0</v>
      </c>
      <c r="I26" s="135">
        <f t="shared" si="4"/>
        <v>0</v>
      </c>
      <c r="J26" s="136">
        <f>SUM(J17:J25)</f>
        <v>0</v>
      </c>
      <c r="K26" s="136">
        <f t="shared" si="4"/>
        <v>0</v>
      </c>
      <c r="L26" s="136">
        <f t="shared" si="4"/>
        <v>0</v>
      </c>
      <c r="M26" s="136">
        <f t="shared" si="4"/>
        <v>0</v>
      </c>
      <c r="N26" s="136">
        <f t="shared" si="4"/>
        <v>0</v>
      </c>
      <c r="O26" s="136">
        <f t="shared" si="4"/>
        <v>0</v>
      </c>
      <c r="P26" s="136">
        <f t="shared" si="4"/>
        <v>0</v>
      </c>
      <c r="Q26" s="110">
        <v>13000</v>
      </c>
      <c r="R26" s="44">
        <f t="shared" si="0"/>
        <v>13000</v>
      </c>
      <c r="S26" s="7">
        <f t="shared" si="1"/>
        <v>-2000</v>
      </c>
    </row>
    <row r="27" spans="1:19" ht="15">
      <c r="A27" s="46" t="s">
        <v>10</v>
      </c>
      <c r="B27" s="91"/>
      <c r="C27" s="146"/>
      <c r="D27" s="91"/>
      <c r="E27" s="91"/>
      <c r="F27" s="125"/>
      <c r="G27" s="128"/>
      <c r="H27" s="129"/>
      <c r="I27" s="91"/>
      <c r="J27" s="91"/>
      <c r="K27" s="91"/>
      <c r="L27" s="91"/>
      <c r="M27" s="91"/>
      <c r="N27" s="91"/>
      <c r="O27" s="91"/>
      <c r="P27" s="91"/>
      <c r="Q27" s="91"/>
      <c r="R27" s="13">
        <f t="shared" si="0"/>
        <v>0</v>
      </c>
      <c r="S27" s="7">
        <f t="shared" si="1"/>
        <v>0</v>
      </c>
    </row>
    <row r="28" spans="1:19" ht="15">
      <c r="A28" s="4" t="s">
        <v>11</v>
      </c>
      <c r="B28" s="109">
        <v>49200</v>
      </c>
      <c r="C28" s="63">
        <v>24900</v>
      </c>
      <c r="D28" s="109">
        <v>60200</v>
      </c>
      <c r="E28" s="109">
        <v>45200</v>
      </c>
      <c r="F28" s="144">
        <f>+E28-B28</f>
        <v>-4000</v>
      </c>
      <c r="G28" s="109">
        <v>60200</v>
      </c>
      <c r="H28" s="129"/>
      <c r="I28" s="91"/>
      <c r="J28" s="130"/>
      <c r="K28" s="130"/>
      <c r="L28" s="130"/>
      <c r="M28" s="130"/>
      <c r="N28" s="130"/>
      <c r="O28" s="130"/>
      <c r="P28" s="130"/>
      <c r="Q28" s="68"/>
      <c r="R28" s="7">
        <f t="shared" si="0"/>
        <v>60200</v>
      </c>
      <c r="S28" s="7">
        <f t="shared" si="1"/>
        <v>15000</v>
      </c>
    </row>
    <row r="29" spans="1:19" ht="15">
      <c r="A29" s="4" t="s">
        <v>157</v>
      </c>
      <c r="B29" s="109">
        <v>7200</v>
      </c>
      <c r="C29" s="64">
        <v>1158.75</v>
      </c>
      <c r="D29" s="109">
        <v>6400</v>
      </c>
      <c r="E29" s="109">
        <v>20000</v>
      </c>
      <c r="F29" s="127">
        <f aca="true" t="shared" si="5" ref="F29:F46">+E29-B29</f>
        <v>12800</v>
      </c>
      <c r="G29" s="109">
        <v>6400</v>
      </c>
      <c r="H29" s="129"/>
      <c r="I29" s="91"/>
      <c r="J29" s="130"/>
      <c r="K29" s="130"/>
      <c r="L29" s="130"/>
      <c r="M29" s="130"/>
      <c r="N29" s="130"/>
      <c r="O29" s="130"/>
      <c r="P29" s="130"/>
      <c r="Q29" s="68"/>
      <c r="R29" s="7">
        <f t="shared" si="0"/>
        <v>6400</v>
      </c>
      <c r="S29" s="7"/>
    </row>
    <row r="30" spans="1:19" ht="15">
      <c r="A30" s="4" t="s">
        <v>212</v>
      </c>
      <c r="B30" s="109">
        <v>0</v>
      </c>
      <c r="C30" s="63">
        <v>0</v>
      </c>
      <c r="D30" s="109"/>
      <c r="E30" s="109">
        <v>7900</v>
      </c>
      <c r="F30" s="144">
        <f t="shared" si="5"/>
        <v>7900</v>
      </c>
      <c r="G30" s="109">
        <v>0</v>
      </c>
      <c r="H30" s="129"/>
      <c r="I30" s="91"/>
      <c r="J30" s="130"/>
      <c r="K30" s="130"/>
      <c r="L30" s="68"/>
      <c r="M30" s="68"/>
      <c r="N30" s="68"/>
      <c r="O30" s="68"/>
      <c r="P30" s="68"/>
      <c r="Q30" s="68"/>
      <c r="R30" s="7">
        <f t="shared" si="0"/>
        <v>0</v>
      </c>
      <c r="S30" s="7">
        <f t="shared" si="1"/>
        <v>-7900</v>
      </c>
    </row>
    <row r="31" spans="1:19" ht="15">
      <c r="A31" s="4" t="s">
        <v>170</v>
      </c>
      <c r="B31" s="109">
        <v>16000</v>
      </c>
      <c r="C31" s="63">
        <v>10834.5</v>
      </c>
      <c r="D31" s="109">
        <v>20000</v>
      </c>
      <c r="E31" s="109">
        <v>16500</v>
      </c>
      <c r="F31" s="144">
        <f t="shared" si="5"/>
        <v>500</v>
      </c>
      <c r="G31" s="128"/>
      <c r="H31" s="129"/>
      <c r="I31" s="91"/>
      <c r="J31" s="130"/>
      <c r="K31" s="130"/>
      <c r="L31" s="130"/>
      <c r="M31" s="130"/>
      <c r="N31" s="130"/>
      <c r="O31" s="130"/>
      <c r="P31" s="130"/>
      <c r="Q31" s="68">
        <v>16000</v>
      </c>
      <c r="R31" s="7">
        <f t="shared" si="0"/>
        <v>16000</v>
      </c>
      <c r="S31" s="7">
        <f t="shared" si="1"/>
        <v>-500</v>
      </c>
    </row>
    <row r="32" spans="1:19" ht="15">
      <c r="A32" s="4" t="s">
        <v>156</v>
      </c>
      <c r="B32" s="109">
        <v>2000</v>
      </c>
      <c r="C32" s="63">
        <v>333.5</v>
      </c>
      <c r="D32" s="109">
        <v>1000</v>
      </c>
      <c r="E32" s="109">
        <v>1000</v>
      </c>
      <c r="F32" s="144">
        <f t="shared" si="5"/>
        <v>-1000</v>
      </c>
      <c r="G32" s="128"/>
      <c r="H32" s="129"/>
      <c r="I32" s="91"/>
      <c r="J32" s="130"/>
      <c r="K32" s="130"/>
      <c r="L32" s="130"/>
      <c r="M32" s="130"/>
      <c r="N32" s="130"/>
      <c r="O32" s="130"/>
      <c r="P32" s="130"/>
      <c r="Q32" s="68">
        <v>2000</v>
      </c>
      <c r="R32" s="7">
        <f t="shared" si="0"/>
        <v>2000</v>
      </c>
      <c r="S32" s="7">
        <f t="shared" si="1"/>
        <v>1000</v>
      </c>
    </row>
    <row r="33" spans="1:19" ht="15">
      <c r="A33" s="4" t="s">
        <v>12</v>
      </c>
      <c r="B33" s="109">
        <v>1500</v>
      </c>
      <c r="C33" s="63">
        <v>703.98</v>
      </c>
      <c r="D33" s="109">
        <v>1500</v>
      </c>
      <c r="E33" s="109">
        <v>1500</v>
      </c>
      <c r="F33" s="144">
        <f t="shared" si="5"/>
        <v>0</v>
      </c>
      <c r="G33" s="128"/>
      <c r="H33" s="129"/>
      <c r="I33" s="91"/>
      <c r="J33" s="130"/>
      <c r="K33" s="130"/>
      <c r="L33" s="130"/>
      <c r="M33" s="130"/>
      <c r="N33" s="130"/>
      <c r="O33" s="130"/>
      <c r="P33" s="130"/>
      <c r="Q33" s="68">
        <v>1500</v>
      </c>
      <c r="R33" s="7">
        <f t="shared" si="0"/>
        <v>1500</v>
      </c>
      <c r="S33" s="7">
        <f t="shared" si="1"/>
        <v>0</v>
      </c>
    </row>
    <row r="34" spans="1:19" ht="15">
      <c r="A34" s="4" t="s">
        <v>104</v>
      </c>
      <c r="B34" s="109">
        <v>100</v>
      </c>
      <c r="C34" s="63">
        <v>1</v>
      </c>
      <c r="D34" s="109">
        <v>100</v>
      </c>
      <c r="E34" s="109">
        <v>100</v>
      </c>
      <c r="F34" s="144">
        <f t="shared" si="5"/>
        <v>0</v>
      </c>
      <c r="G34" s="128"/>
      <c r="H34" s="129"/>
      <c r="I34" s="91"/>
      <c r="J34" s="130"/>
      <c r="K34" s="130"/>
      <c r="L34" s="130"/>
      <c r="M34" s="130"/>
      <c r="N34" s="130"/>
      <c r="O34" s="130"/>
      <c r="P34" s="130"/>
      <c r="Q34" s="68">
        <v>100</v>
      </c>
      <c r="R34" s="7">
        <f t="shared" si="0"/>
        <v>100</v>
      </c>
      <c r="S34" s="7">
        <f t="shared" si="1"/>
        <v>0</v>
      </c>
    </row>
    <row r="35" spans="1:19" ht="15">
      <c r="A35" s="4" t="s">
        <v>13</v>
      </c>
      <c r="B35" s="109">
        <v>0</v>
      </c>
      <c r="C35" s="64">
        <v>0</v>
      </c>
      <c r="D35" s="109">
        <v>0</v>
      </c>
      <c r="E35" s="109">
        <v>0</v>
      </c>
      <c r="F35" s="144">
        <f t="shared" si="5"/>
        <v>0</v>
      </c>
      <c r="G35" s="128"/>
      <c r="H35" s="129"/>
      <c r="I35" s="91"/>
      <c r="J35" s="109"/>
      <c r="K35" s="130"/>
      <c r="L35" s="130"/>
      <c r="M35" s="130"/>
      <c r="N35" s="130"/>
      <c r="O35" s="130"/>
      <c r="P35" s="130"/>
      <c r="Q35" s="68"/>
      <c r="R35" s="7">
        <f t="shared" si="0"/>
        <v>0</v>
      </c>
      <c r="S35" s="7">
        <f t="shared" si="1"/>
        <v>0</v>
      </c>
    </row>
    <row r="36" spans="1:19" ht="15">
      <c r="A36" s="4" t="s">
        <v>14</v>
      </c>
      <c r="B36" s="109">
        <v>0</v>
      </c>
      <c r="C36" s="63">
        <v>0</v>
      </c>
      <c r="D36" s="109">
        <v>0</v>
      </c>
      <c r="E36" s="109">
        <v>0</v>
      </c>
      <c r="F36" s="144">
        <f t="shared" si="5"/>
        <v>0</v>
      </c>
      <c r="G36" s="128"/>
      <c r="H36" s="129"/>
      <c r="I36" s="91"/>
      <c r="J36" s="109"/>
      <c r="K36" s="130"/>
      <c r="L36" s="130"/>
      <c r="M36" s="130"/>
      <c r="N36" s="130"/>
      <c r="O36" s="130"/>
      <c r="P36" s="130"/>
      <c r="Q36" s="68"/>
      <c r="R36" s="7">
        <f t="shared" si="0"/>
        <v>0</v>
      </c>
      <c r="S36" s="7">
        <f t="shared" si="1"/>
        <v>0</v>
      </c>
    </row>
    <row r="37" spans="1:19" ht="15">
      <c r="A37" s="4" t="s">
        <v>15</v>
      </c>
      <c r="B37" s="109">
        <v>13750</v>
      </c>
      <c r="C37" s="63">
        <v>8808.6</v>
      </c>
      <c r="D37" s="109">
        <v>18000</v>
      </c>
      <c r="E37" s="109">
        <v>13500</v>
      </c>
      <c r="F37" s="144">
        <f t="shared" si="5"/>
        <v>-250</v>
      </c>
      <c r="G37" s="128"/>
      <c r="H37" s="129"/>
      <c r="I37" s="91"/>
      <c r="J37" s="109"/>
      <c r="K37" s="130"/>
      <c r="L37" s="130"/>
      <c r="M37" s="130"/>
      <c r="N37" s="130"/>
      <c r="O37" s="130"/>
      <c r="P37" s="130"/>
      <c r="Q37" s="68">
        <v>13750</v>
      </c>
      <c r="R37" s="7">
        <f t="shared" si="0"/>
        <v>13750</v>
      </c>
      <c r="S37" s="7">
        <f t="shared" si="1"/>
        <v>250</v>
      </c>
    </row>
    <row r="38" spans="1:19" ht="15">
      <c r="A38" s="4" t="s">
        <v>124</v>
      </c>
      <c r="B38" s="109">
        <v>0</v>
      </c>
      <c r="C38" s="63">
        <v>0</v>
      </c>
      <c r="D38" s="109">
        <v>0</v>
      </c>
      <c r="E38" s="109">
        <v>0</v>
      </c>
      <c r="F38" s="144">
        <f t="shared" si="5"/>
        <v>0</v>
      </c>
      <c r="G38" s="128"/>
      <c r="H38" s="129"/>
      <c r="I38" s="91"/>
      <c r="J38" s="109"/>
      <c r="K38" s="130"/>
      <c r="L38" s="130"/>
      <c r="M38" s="130"/>
      <c r="N38" s="130"/>
      <c r="O38" s="130"/>
      <c r="P38" s="130"/>
      <c r="Q38" s="68"/>
      <c r="R38" s="7">
        <f t="shared" si="0"/>
        <v>0</v>
      </c>
      <c r="S38" s="7">
        <f t="shared" si="1"/>
        <v>0</v>
      </c>
    </row>
    <row r="39" spans="1:19" ht="15">
      <c r="A39" s="4" t="s">
        <v>16</v>
      </c>
      <c r="B39" s="109">
        <v>1000</v>
      </c>
      <c r="C39" s="63">
        <v>945</v>
      </c>
      <c r="D39" s="109">
        <v>1200</v>
      </c>
      <c r="E39" s="109">
        <v>1200</v>
      </c>
      <c r="F39" s="144">
        <f t="shared" si="5"/>
        <v>200</v>
      </c>
      <c r="G39" s="128"/>
      <c r="H39" s="129"/>
      <c r="I39" s="91"/>
      <c r="J39" s="109"/>
      <c r="K39" s="130"/>
      <c r="L39" s="130"/>
      <c r="M39" s="130"/>
      <c r="N39" s="130"/>
      <c r="O39" s="130"/>
      <c r="P39" s="130"/>
      <c r="Q39" s="68">
        <v>1000</v>
      </c>
      <c r="R39" s="7">
        <f t="shared" si="0"/>
        <v>1000</v>
      </c>
      <c r="S39" s="7">
        <f t="shared" si="1"/>
        <v>-200</v>
      </c>
    </row>
    <row r="40" spans="1:19" ht="15">
      <c r="A40" s="4" t="s">
        <v>17</v>
      </c>
      <c r="B40" s="109">
        <v>58000</v>
      </c>
      <c r="C40" s="63">
        <v>30361.75</v>
      </c>
      <c r="D40" s="109">
        <v>66600</v>
      </c>
      <c r="E40" s="109">
        <v>50100</v>
      </c>
      <c r="F40" s="144">
        <f t="shared" si="5"/>
        <v>-7900</v>
      </c>
      <c r="G40" s="128"/>
      <c r="H40" s="129">
        <v>66600</v>
      </c>
      <c r="I40" s="91"/>
      <c r="J40" s="130"/>
      <c r="K40" s="130"/>
      <c r="L40" s="130"/>
      <c r="M40" s="130"/>
      <c r="N40" s="130"/>
      <c r="O40" s="130"/>
      <c r="P40" s="130"/>
      <c r="Q40" s="68"/>
      <c r="R40" s="7">
        <f t="shared" si="0"/>
        <v>66600</v>
      </c>
      <c r="S40" s="7">
        <f t="shared" si="1"/>
        <v>16500</v>
      </c>
    </row>
    <row r="41" spans="1:19" ht="15">
      <c r="A41" s="4" t="s">
        <v>18</v>
      </c>
      <c r="B41" s="109">
        <v>9600</v>
      </c>
      <c r="C41" s="63">
        <v>4590</v>
      </c>
      <c r="D41" s="109">
        <v>12000</v>
      </c>
      <c r="E41" s="109">
        <v>9000</v>
      </c>
      <c r="F41" s="144">
        <f t="shared" si="5"/>
        <v>-600</v>
      </c>
      <c r="G41" s="128"/>
      <c r="H41" s="129">
        <v>12000</v>
      </c>
      <c r="I41" s="91"/>
      <c r="J41" s="130"/>
      <c r="K41" s="130"/>
      <c r="L41" s="130"/>
      <c r="M41" s="130"/>
      <c r="N41" s="130"/>
      <c r="O41" s="130"/>
      <c r="P41" s="130"/>
      <c r="Q41" s="68"/>
      <c r="R41" s="7">
        <f t="shared" si="0"/>
        <v>12000</v>
      </c>
      <c r="S41" s="7">
        <f t="shared" si="1"/>
        <v>3000</v>
      </c>
    </row>
    <row r="42" spans="1:19" ht="15">
      <c r="A42" s="4" t="s">
        <v>122</v>
      </c>
      <c r="B42" s="109"/>
      <c r="C42" s="63">
        <v>0</v>
      </c>
      <c r="D42" s="109">
        <v>0</v>
      </c>
      <c r="E42" s="109"/>
      <c r="F42" s="144">
        <f t="shared" si="5"/>
        <v>0</v>
      </c>
      <c r="G42" s="128"/>
      <c r="H42" s="129"/>
      <c r="I42" s="91"/>
      <c r="J42" s="130"/>
      <c r="K42" s="130"/>
      <c r="L42" s="130"/>
      <c r="M42" s="130"/>
      <c r="N42" s="130"/>
      <c r="O42" s="130"/>
      <c r="P42" s="130"/>
      <c r="Q42" s="68"/>
      <c r="R42" s="7">
        <f t="shared" si="0"/>
        <v>0</v>
      </c>
      <c r="S42" s="7">
        <f t="shared" si="1"/>
        <v>0</v>
      </c>
    </row>
    <row r="43" spans="1:19" ht="15">
      <c r="A43" s="4" t="s">
        <v>125</v>
      </c>
      <c r="B43" s="109">
        <v>15900</v>
      </c>
      <c r="C43" s="63">
        <v>6840.76</v>
      </c>
      <c r="D43" s="109">
        <v>15000</v>
      </c>
      <c r="E43" s="109">
        <v>11250</v>
      </c>
      <c r="F43" s="144">
        <f t="shared" si="5"/>
        <v>-4650</v>
      </c>
      <c r="G43" s="128"/>
      <c r="H43" s="129"/>
      <c r="I43" s="91"/>
      <c r="J43" s="130"/>
      <c r="K43" s="130"/>
      <c r="L43" s="130"/>
      <c r="M43" s="130"/>
      <c r="N43" s="130"/>
      <c r="O43" s="130"/>
      <c r="P43" s="130"/>
      <c r="Q43" s="68">
        <v>15900</v>
      </c>
      <c r="R43" s="7">
        <f t="shared" si="0"/>
        <v>15900</v>
      </c>
      <c r="S43" s="7">
        <f t="shared" si="1"/>
        <v>4650</v>
      </c>
    </row>
    <row r="44" spans="1:19" ht="15">
      <c r="A44" s="4" t="s">
        <v>108</v>
      </c>
      <c r="B44" s="109">
        <v>1385</v>
      </c>
      <c r="C44" s="64">
        <v>290.35</v>
      </c>
      <c r="D44" s="109">
        <v>500</v>
      </c>
      <c r="E44" s="109">
        <v>500</v>
      </c>
      <c r="F44" s="144">
        <f t="shared" si="5"/>
        <v>-885</v>
      </c>
      <c r="G44" s="128"/>
      <c r="H44" s="129"/>
      <c r="I44" s="91"/>
      <c r="J44" s="130"/>
      <c r="K44" s="130"/>
      <c r="L44" s="130"/>
      <c r="M44" s="130"/>
      <c r="N44" s="130"/>
      <c r="O44" s="130"/>
      <c r="P44" s="130"/>
      <c r="Q44" s="68">
        <v>1385</v>
      </c>
      <c r="R44" s="7">
        <f t="shared" si="0"/>
        <v>1385</v>
      </c>
      <c r="S44" s="7">
        <f t="shared" si="1"/>
        <v>885</v>
      </c>
    </row>
    <row r="45" spans="1:19" ht="15">
      <c r="A45" s="4" t="s">
        <v>19</v>
      </c>
      <c r="B45" s="109">
        <v>1000</v>
      </c>
      <c r="C45" s="64">
        <v>970.5</v>
      </c>
      <c r="D45" s="109">
        <v>1500</v>
      </c>
      <c r="E45" s="109">
        <v>1500</v>
      </c>
      <c r="F45" s="144">
        <f t="shared" si="5"/>
        <v>500</v>
      </c>
      <c r="G45" s="128"/>
      <c r="H45" s="129"/>
      <c r="I45" s="91"/>
      <c r="J45" s="130"/>
      <c r="K45" s="130"/>
      <c r="L45" s="130"/>
      <c r="M45" s="130"/>
      <c r="N45" s="130"/>
      <c r="O45" s="130"/>
      <c r="P45" s="68"/>
      <c r="Q45" s="68">
        <v>1000</v>
      </c>
      <c r="R45" s="7">
        <f t="shared" si="0"/>
        <v>1000</v>
      </c>
      <c r="S45" s="7">
        <f t="shared" si="1"/>
        <v>-500</v>
      </c>
    </row>
    <row r="46" spans="1:19" ht="15.75" thickBot="1">
      <c r="A46" s="4" t="s">
        <v>126</v>
      </c>
      <c r="B46" s="112">
        <v>2000</v>
      </c>
      <c r="C46" s="147">
        <v>210.96</v>
      </c>
      <c r="D46" s="112">
        <v>2000</v>
      </c>
      <c r="E46" s="112">
        <v>2000</v>
      </c>
      <c r="F46" s="144">
        <f t="shared" si="5"/>
        <v>0</v>
      </c>
      <c r="G46" s="141"/>
      <c r="H46" s="142"/>
      <c r="I46" s="111"/>
      <c r="J46" s="148"/>
      <c r="K46" s="148"/>
      <c r="L46" s="148"/>
      <c r="M46" s="148"/>
      <c r="N46" s="148"/>
      <c r="O46" s="148"/>
      <c r="P46" s="148"/>
      <c r="Q46" s="68">
        <v>2000</v>
      </c>
      <c r="R46" s="16">
        <f t="shared" si="0"/>
        <v>2000</v>
      </c>
      <c r="S46" s="7">
        <f t="shared" si="1"/>
        <v>0</v>
      </c>
    </row>
    <row r="47" spans="1:19" ht="15.75" thickBot="1">
      <c r="A47" s="48" t="s">
        <v>6</v>
      </c>
      <c r="B47" s="110">
        <f>SUM(B28:B46)</f>
        <v>178635</v>
      </c>
      <c r="C47" s="43">
        <f aca="true" t="shared" si="6" ref="C47:Q47">SUM(C28:C46)</f>
        <v>90949.65000000001</v>
      </c>
      <c r="D47" s="110">
        <f t="shared" si="6"/>
        <v>206000</v>
      </c>
      <c r="E47" s="110">
        <f t="shared" si="6"/>
        <v>181250</v>
      </c>
      <c r="F47" s="132">
        <f t="shared" si="6"/>
        <v>2615</v>
      </c>
      <c r="G47" s="133">
        <f t="shared" si="6"/>
        <v>66600</v>
      </c>
      <c r="H47" s="134">
        <f t="shared" si="6"/>
        <v>78600</v>
      </c>
      <c r="I47" s="135">
        <f t="shared" si="6"/>
        <v>0</v>
      </c>
      <c r="J47" s="136">
        <f t="shared" si="6"/>
        <v>0</v>
      </c>
      <c r="K47" s="136">
        <f t="shared" si="6"/>
        <v>0</v>
      </c>
      <c r="L47" s="136">
        <f t="shared" si="6"/>
        <v>0</v>
      </c>
      <c r="M47" s="136">
        <f t="shared" si="6"/>
        <v>0</v>
      </c>
      <c r="N47" s="136">
        <f t="shared" si="6"/>
        <v>0</v>
      </c>
      <c r="O47" s="136">
        <f t="shared" si="6"/>
        <v>0</v>
      </c>
      <c r="P47" s="136">
        <f t="shared" si="6"/>
        <v>0</v>
      </c>
      <c r="Q47" s="110">
        <f t="shared" si="6"/>
        <v>54635</v>
      </c>
      <c r="R47" s="12">
        <f t="shared" si="0"/>
        <v>199835</v>
      </c>
      <c r="S47" s="7">
        <f t="shared" si="1"/>
        <v>18585</v>
      </c>
    </row>
    <row r="48" spans="1:19" ht="15">
      <c r="A48" s="46" t="s">
        <v>20</v>
      </c>
      <c r="B48" s="91"/>
      <c r="C48" s="137"/>
      <c r="D48" s="91"/>
      <c r="E48" s="91"/>
      <c r="F48" s="125"/>
      <c r="G48" s="128"/>
      <c r="H48" s="129"/>
      <c r="I48" s="91"/>
      <c r="J48" s="91"/>
      <c r="K48" s="91"/>
      <c r="L48" s="91"/>
      <c r="M48" s="91"/>
      <c r="N48" s="91"/>
      <c r="O48" s="91"/>
      <c r="P48" s="91"/>
      <c r="Q48" s="91"/>
      <c r="R48" s="13">
        <f t="shared" si="0"/>
        <v>0</v>
      </c>
      <c r="S48" s="7">
        <f t="shared" si="1"/>
        <v>0</v>
      </c>
    </row>
    <row r="49" spans="1:19" ht="15">
      <c r="A49" s="5" t="s">
        <v>21</v>
      </c>
      <c r="B49" s="109"/>
      <c r="C49" s="109"/>
      <c r="D49" s="109"/>
      <c r="E49" s="109"/>
      <c r="F49" s="144">
        <f>+E49-D49</f>
        <v>0</v>
      </c>
      <c r="G49" s="128"/>
      <c r="H49" s="129"/>
      <c r="I49" s="91"/>
      <c r="J49" s="130"/>
      <c r="K49" s="130"/>
      <c r="L49" s="130"/>
      <c r="M49" s="130"/>
      <c r="N49" s="130"/>
      <c r="O49" s="130"/>
      <c r="P49" s="130"/>
      <c r="Q49" s="68"/>
      <c r="R49" s="7">
        <f t="shared" si="0"/>
        <v>0</v>
      </c>
      <c r="S49" s="7">
        <f t="shared" si="1"/>
        <v>0</v>
      </c>
    </row>
    <row r="50" spans="1:19" ht="15">
      <c r="A50" s="5" t="s">
        <v>153</v>
      </c>
      <c r="B50" s="109"/>
      <c r="C50" s="109"/>
      <c r="D50" s="109"/>
      <c r="E50" s="109"/>
      <c r="F50" s="144">
        <f>+E50-D50</f>
        <v>0</v>
      </c>
      <c r="G50" s="128"/>
      <c r="H50" s="129"/>
      <c r="I50" s="91"/>
      <c r="J50" s="130"/>
      <c r="K50" s="130"/>
      <c r="L50" s="130"/>
      <c r="M50" s="130"/>
      <c r="N50" s="130"/>
      <c r="O50" s="130"/>
      <c r="P50" s="130"/>
      <c r="Q50" s="68"/>
      <c r="R50" s="7">
        <f t="shared" si="0"/>
        <v>0</v>
      </c>
      <c r="S50" s="7">
        <f t="shared" si="1"/>
        <v>0</v>
      </c>
    </row>
    <row r="51" spans="1:19" ht="15">
      <c r="A51" s="5" t="s">
        <v>22</v>
      </c>
      <c r="B51" s="109"/>
      <c r="C51" s="109"/>
      <c r="D51" s="109"/>
      <c r="E51" s="109"/>
      <c r="F51" s="144">
        <f>+E51-D51</f>
        <v>0</v>
      </c>
      <c r="G51" s="128"/>
      <c r="H51" s="129"/>
      <c r="I51" s="91"/>
      <c r="J51" s="130"/>
      <c r="K51" s="130"/>
      <c r="L51" s="130"/>
      <c r="M51" s="130"/>
      <c r="N51" s="130"/>
      <c r="O51" s="130"/>
      <c r="P51" s="130"/>
      <c r="Q51" s="68"/>
      <c r="R51" s="7">
        <f t="shared" si="0"/>
        <v>0</v>
      </c>
      <c r="S51" s="7">
        <f t="shared" si="1"/>
        <v>0</v>
      </c>
    </row>
    <row r="52" spans="1:19" ht="15.75" thickBot="1">
      <c r="A52" s="5" t="s">
        <v>169</v>
      </c>
      <c r="B52" s="109">
        <v>15000</v>
      </c>
      <c r="C52" s="149">
        <v>639</v>
      </c>
      <c r="D52" s="109"/>
      <c r="E52" s="109"/>
      <c r="F52" s="144"/>
      <c r="G52" s="128"/>
      <c r="H52" s="129"/>
      <c r="I52" s="91"/>
      <c r="J52" s="130"/>
      <c r="K52" s="130"/>
      <c r="L52" s="130"/>
      <c r="M52" s="130"/>
      <c r="N52" s="130"/>
      <c r="O52" s="130"/>
      <c r="P52" s="130"/>
      <c r="Q52" s="68">
        <v>15000</v>
      </c>
      <c r="R52" s="7">
        <f t="shared" si="0"/>
        <v>15000</v>
      </c>
      <c r="S52" s="7">
        <f t="shared" si="1"/>
        <v>15000</v>
      </c>
    </row>
    <row r="53" spans="1:19" ht="15.75" thickBot="1">
      <c r="A53" s="48" t="s">
        <v>6</v>
      </c>
      <c r="B53" s="110">
        <f>SUM(B49:B52)</f>
        <v>15000</v>
      </c>
      <c r="C53" s="43">
        <f aca="true" t="shared" si="7" ref="C53:Q53">SUM(C49:C52)</f>
        <v>639</v>
      </c>
      <c r="D53" s="110">
        <v>15000</v>
      </c>
      <c r="E53" s="110">
        <v>15000</v>
      </c>
      <c r="F53" s="132">
        <f>SUM(F49:F52)</f>
        <v>0</v>
      </c>
      <c r="G53" s="133">
        <f t="shared" si="7"/>
        <v>0</v>
      </c>
      <c r="H53" s="134">
        <f t="shared" si="7"/>
        <v>0</v>
      </c>
      <c r="I53" s="135">
        <f t="shared" si="7"/>
        <v>0</v>
      </c>
      <c r="J53" s="136">
        <f>SUM(J49:J52)</f>
        <v>0</v>
      </c>
      <c r="K53" s="136">
        <f t="shared" si="7"/>
        <v>0</v>
      </c>
      <c r="L53" s="136">
        <f t="shared" si="7"/>
        <v>0</v>
      </c>
      <c r="M53" s="136">
        <f t="shared" si="7"/>
        <v>0</v>
      </c>
      <c r="N53" s="136">
        <f t="shared" si="7"/>
        <v>0</v>
      </c>
      <c r="O53" s="136">
        <f t="shared" si="7"/>
        <v>0</v>
      </c>
      <c r="P53" s="136">
        <f t="shared" si="7"/>
        <v>0</v>
      </c>
      <c r="Q53" s="110">
        <f t="shared" si="7"/>
        <v>15000</v>
      </c>
      <c r="R53" s="12">
        <f t="shared" si="0"/>
        <v>15000</v>
      </c>
      <c r="S53" s="7">
        <f t="shared" si="1"/>
        <v>0</v>
      </c>
    </row>
    <row r="54" spans="1:19" ht="15">
      <c r="A54" s="46" t="s">
        <v>23</v>
      </c>
      <c r="B54" s="91"/>
      <c r="C54" s="146"/>
      <c r="D54" s="91"/>
      <c r="E54" s="91"/>
      <c r="F54" s="125"/>
      <c r="G54" s="128"/>
      <c r="H54" s="129"/>
      <c r="I54" s="91"/>
      <c r="J54" s="91"/>
      <c r="K54" s="91"/>
      <c r="L54" s="91"/>
      <c r="M54" s="91"/>
      <c r="N54" s="91"/>
      <c r="O54" s="91"/>
      <c r="P54" s="91"/>
      <c r="Q54" s="91"/>
      <c r="R54" s="13">
        <f t="shared" si="0"/>
        <v>0</v>
      </c>
      <c r="S54" s="7">
        <f t="shared" si="1"/>
        <v>0</v>
      </c>
    </row>
    <row r="55" spans="1:19" ht="15">
      <c r="A55" s="4" t="s">
        <v>106</v>
      </c>
      <c r="B55" s="109">
        <v>0</v>
      </c>
      <c r="C55" s="64">
        <v>0</v>
      </c>
      <c r="D55" s="109">
        <v>0</v>
      </c>
      <c r="E55" s="109">
        <v>0</v>
      </c>
      <c r="F55" s="144"/>
      <c r="G55" s="128"/>
      <c r="H55" s="129"/>
      <c r="I55" s="91"/>
      <c r="J55" s="130"/>
      <c r="K55" s="130"/>
      <c r="L55" s="130"/>
      <c r="M55" s="130"/>
      <c r="N55" s="130"/>
      <c r="O55" s="130"/>
      <c r="P55" s="130"/>
      <c r="Q55" s="68">
        <v>0</v>
      </c>
      <c r="R55" s="7"/>
      <c r="S55" s="7">
        <f t="shared" si="1"/>
        <v>0</v>
      </c>
    </row>
    <row r="56" spans="1:19" ht="15">
      <c r="A56" s="4" t="s">
        <v>107</v>
      </c>
      <c r="B56" s="109">
        <v>0</v>
      </c>
      <c r="C56" s="64">
        <v>0</v>
      </c>
      <c r="D56" s="109">
        <v>6650</v>
      </c>
      <c r="E56" s="109">
        <v>1723</v>
      </c>
      <c r="F56" s="144">
        <f>+E56-D56</f>
        <v>-4927</v>
      </c>
      <c r="G56" s="128"/>
      <c r="H56" s="129"/>
      <c r="I56" s="91"/>
      <c r="J56" s="130"/>
      <c r="K56" s="130"/>
      <c r="L56" s="130"/>
      <c r="M56" s="130"/>
      <c r="N56" s="130"/>
      <c r="O56" s="130"/>
      <c r="P56" s="130"/>
      <c r="Q56" s="68">
        <f>+E56-G56-H56</f>
        <v>1723</v>
      </c>
      <c r="R56" s="7">
        <f>SUM(G56:Q56)</f>
        <v>1723</v>
      </c>
      <c r="S56" s="7">
        <f t="shared" si="1"/>
        <v>0</v>
      </c>
    </row>
    <row r="57" spans="1:19" ht="15">
      <c r="A57" s="4" t="s">
        <v>24</v>
      </c>
      <c r="B57" s="109">
        <v>0</v>
      </c>
      <c r="C57" s="64">
        <v>1010.4</v>
      </c>
      <c r="D57" s="109">
        <v>1173</v>
      </c>
      <c r="E57" s="109"/>
      <c r="F57" s="144">
        <f>+E57-D57</f>
        <v>-1173</v>
      </c>
      <c r="G57" s="128"/>
      <c r="H57" s="129"/>
      <c r="I57" s="91"/>
      <c r="J57" s="130"/>
      <c r="K57" s="130"/>
      <c r="L57" s="130"/>
      <c r="M57" s="130"/>
      <c r="N57" s="130"/>
      <c r="O57" s="130"/>
      <c r="P57" s="130"/>
      <c r="Q57" s="68">
        <f>+E57-G57-H57</f>
        <v>0</v>
      </c>
      <c r="R57" s="7">
        <f t="shared" si="0"/>
        <v>0</v>
      </c>
      <c r="S57" s="7">
        <f t="shared" si="1"/>
        <v>0</v>
      </c>
    </row>
    <row r="58" spans="1:19" ht="15">
      <c r="A58" s="4" t="s">
        <v>25</v>
      </c>
      <c r="B58" s="109">
        <v>0</v>
      </c>
      <c r="C58" s="64">
        <v>150</v>
      </c>
      <c r="D58" s="109">
        <v>100</v>
      </c>
      <c r="E58" s="109">
        <v>100</v>
      </c>
      <c r="F58" s="144">
        <f>+E58-D58</f>
        <v>0</v>
      </c>
      <c r="G58" s="128"/>
      <c r="H58" s="129"/>
      <c r="I58" s="91"/>
      <c r="J58" s="130"/>
      <c r="K58" s="130"/>
      <c r="L58" s="130"/>
      <c r="M58" s="130"/>
      <c r="N58" s="130"/>
      <c r="O58" s="130"/>
      <c r="P58" s="130"/>
      <c r="Q58" s="68"/>
      <c r="R58" s="7">
        <f t="shared" si="0"/>
        <v>0</v>
      </c>
      <c r="S58" s="7">
        <f t="shared" si="1"/>
        <v>-100</v>
      </c>
    </row>
    <row r="59" spans="1:19" ht="15.75" thickBot="1">
      <c r="A59" s="4" t="s">
        <v>26</v>
      </c>
      <c r="B59" s="112">
        <v>10630</v>
      </c>
      <c r="C59" s="65">
        <v>5002</v>
      </c>
      <c r="D59" s="112">
        <v>10000</v>
      </c>
      <c r="E59" s="112">
        <v>8000</v>
      </c>
      <c r="F59" s="144">
        <f>+E59-B59</f>
        <v>-2630</v>
      </c>
      <c r="G59" s="141"/>
      <c r="H59" s="142"/>
      <c r="I59" s="111"/>
      <c r="J59" s="148"/>
      <c r="K59" s="148"/>
      <c r="L59" s="148"/>
      <c r="M59" s="148"/>
      <c r="N59" s="148"/>
      <c r="O59" s="148"/>
      <c r="P59" s="148"/>
      <c r="Q59" s="68">
        <v>10630</v>
      </c>
      <c r="R59" s="16">
        <f t="shared" si="0"/>
        <v>10630</v>
      </c>
      <c r="S59" s="7">
        <f t="shared" si="1"/>
        <v>2630</v>
      </c>
    </row>
    <row r="60" spans="1:19" ht="15.75" thickBot="1">
      <c r="A60" s="48" t="s">
        <v>6</v>
      </c>
      <c r="B60" s="110">
        <f>SUM(B54:B59)</f>
        <v>10630</v>
      </c>
      <c r="C60" s="43">
        <f aca="true" t="shared" si="8" ref="C60:Q60">SUM(C54:C59)</f>
        <v>6162.4</v>
      </c>
      <c r="D60" s="110">
        <f>SUM(D54:D59)</f>
        <v>17923</v>
      </c>
      <c r="E60" s="110">
        <f>SUM(E54:E59)</f>
        <v>9823</v>
      </c>
      <c r="F60" s="132">
        <f>SUM(F54:F59)</f>
        <v>-8730</v>
      </c>
      <c r="G60" s="133">
        <f t="shared" si="8"/>
        <v>0</v>
      </c>
      <c r="H60" s="134">
        <f t="shared" si="8"/>
        <v>0</v>
      </c>
      <c r="I60" s="135">
        <f t="shared" si="8"/>
        <v>0</v>
      </c>
      <c r="J60" s="136">
        <f>SUM(J54:J59)</f>
        <v>0</v>
      </c>
      <c r="K60" s="136">
        <f t="shared" si="8"/>
        <v>0</v>
      </c>
      <c r="L60" s="136">
        <f t="shared" si="8"/>
        <v>0</v>
      </c>
      <c r="M60" s="136">
        <f t="shared" si="8"/>
        <v>0</v>
      </c>
      <c r="N60" s="136">
        <f t="shared" si="8"/>
        <v>0</v>
      </c>
      <c r="O60" s="136">
        <f t="shared" si="8"/>
        <v>0</v>
      </c>
      <c r="P60" s="136">
        <f t="shared" si="8"/>
        <v>0</v>
      </c>
      <c r="Q60" s="110">
        <f t="shared" si="8"/>
        <v>12353</v>
      </c>
      <c r="R60" s="12">
        <f t="shared" si="0"/>
        <v>12353</v>
      </c>
      <c r="S60" s="7">
        <f t="shared" si="1"/>
        <v>2530</v>
      </c>
    </row>
    <row r="61" spans="1:19" ht="16.5" thickBot="1">
      <c r="A61" s="49" t="s">
        <v>27</v>
      </c>
      <c r="B61" s="113">
        <f>B14+B26+B47+B53+B60</f>
        <v>749365</v>
      </c>
      <c r="C61" s="98">
        <f aca="true" t="shared" si="9" ref="C61:Q61">C14+C26+C47+C53+C60</f>
        <v>385784.11000000004</v>
      </c>
      <c r="D61" s="113">
        <f t="shared" si="9"/>
        <v>823523</v>
      </c>
      <c r="E61" s="113">
        <f t="shared" si="9"/>
        <v>746698</v>
      </c>
      <c r="F61" s="151">
        <f t="shared" si="9"/>
        <v>-75507</v>
      </c>
      <c r="G61" s="152">
        <f t="shared" si="9"/>
        <v>190480</v>
      </c>
      <c r="H61" s="153">
        <f t="shared" si="9"/>
        <v>180081</v>
      </c>
      <c r="I61" s="154">
        <f t="shared" si="9"/>
        <v>0</v>
      </c>
      <c r="J61" s="155">
        <f t="shared" si="9"/>
        <v>0</v>
      </c>
      <c r="K61" s="155">
        <f t="shared" si="9"/>
        <v>0</v>
      </c>
      <c r="L61" s="155">
        <f t="shared" si="9"/>
        <v>0</v>
      </c>
      <c r="M61" s="155">
        <f t="shared" si="9"/>
        <v>0</v>
      </c>
      <c r="N61" s="155">
        <f t="shared" si="9"/>
        <v>0</v>
      </c>
      <c r="O61" s="155">
        <f t="shared" si="9"/>
        <v>0</v>
      </c>
      <c r="P61" s="155">
        <f t="shared" si="9"/>
        <v>0</v>
      </c>
      <c r="Q61" s="155">
        <f t="shared" si="9"/>
        <v>414050</v>
      </c>
      <c r="R61" s="17">
        <f t="shared" si="0"/>
        <v>784611</v>
      </c>
      <c r="S61" s="7">
        <f t="shared" si="1"/>
        <v>37913</v>
      </c>
    </row>
    <row r="62" spans="1:19" ht="17.25" thickBot="1" thickTop="1">
      <c r="A62" s="70"/>
      <c r="B62" s="99"/>
      <c r="C62" s="99"/>
      <c r="D62" s="99"/>
      <c r="E62" s="99"/>
      <c r="F62" s="99"/>
      <c r="G62" s="157"/>
      <c r="H62" s="129"/>
      <c r="I62" s="91"/>
      <c r="J62" s="68"/>
      <c r="K62" s="68"/>
      <c r="L62" s="68"/>
      <c r="M62" s="68"/>
      <c r="N62" s="68"/>
      <c r="O62" s="68"/>
      <c r="P62" s="68"/>
      <c r="Q62" s="68"/>
      <c r="R62" s="7">
        <f t="shared" si="0"/>
        <v>0</v>
      </c>
      <c r="S62" s="7">
        <f t="shared" si="1"/>
        <v>0</v>
      </c>
    </row>
    <row r="63" spans="1:19" ht="18">
      <c r="A63" s="75"/>
      <c r="B63" s="104" t="s">
        <v>61</v>
      </c>
      <c r="C63" s="158" t="s">
        <v>105</v>
      </c>
      <c r="D63" s="104" t="s">
        <v>201</v>
      </c>
      <c r="E63" s="104" t="s">
        <v>61</v>
      </c>
      <c r="F63" s="118" t="s">
        <v>113</v>
      </c>
      <c r="G63" s="83" t="s">
        <v>63</v>
      </c>
      <c r="H63" s="76" t="s">
        <v>64</v>
      </c>
      <c r="I63" s="38" t="s">
        <v>66</v>
      </c>
      <c r="J63" s="6" t="s">
        <v>65</v>
      </c>
      <c r="K63" s="6" t="s">
        <v>67</v>
      </c>
      <c r="L63" s="6" t="s">
        <v>68</v>
      </c>
      <c r="M63" s="6" t="s">
        <v>69</v>
      </c>
      <c r="N63" s="6" t="s">
        <v>70</v>
      </c>
      <c r="O63" s="6" t="s">
        <v>71</v>
      </c>
      <c r="P63" s="6" t="s">
        <v>72</v>
      </c>
      <c r="Q63" s="6" t="s">
        <v>114</v>
      </c>
      <c r="R63" s="7"/>
      <c r="S63" s="7"/>
    </row>
    <row r="64" spans="1:19" ht="18.75" thickBot="1">
      <c r="A64" s="50"/>
      <c r="B64" s="106" t="str">
        <f>+B4</f>
        <v>2019-2020</v>
      </c>
      <c r="C64" s="106" t="str">
        <f>+C4</f>
        <v>Jul-Dec</v>
      </c>
      <c r="D64" s="106" t="str">
        <f>+D4</f>
        <v>2020-2021</v>
      </c>
      <c r="E64" s="106" t="str">
        <f>+E4</f>
        <v>2020-2021</v>
      </c>
      <c r="F64" s="159" t="s">
        <v>112</v>
      </c>
      <c r="G64" s="97" t="s">
        <v>73</v>
      </c>
      <c r="H64" s="77" t="s">
        <v>74</v>
      </c>
      <c r="I64" s="39" t="s">
        <v>74</v>
      </c>
      <c r="J64" s="8" t="s">
        <v>74</v>
      </c>
      <c r="K64" s="8" t="s">
        <v>74</v>
      </c>
      <c r="L64" s="8" t="s">
        <v>75</v>
      </c>
      <c r="M64" s="8" t="s">
        <v>75</v>
      </c>
      <c r="N64" s="8" t="s">
        <v>75</v>
      </c>
      <c r="O64" s="8" t="s">
        <v>76</v>
      </c>
      <c r="P64" s="8" t="s">
        <v>74</v>
      </c>
      <c r="Q64" s="8" t="s">
        <v>75</v>
      </c>
      <c r="R64" s="9" t="s">
        <v>62</v>
      </c>
      <c r="S64" s="7"/>
    </row>
    <row r="65" spans="1:19" ht="18.75" thickBot="1">
      <c r="A65" s="71" t="s">
        <v>28</v>
      </c>
      <c r="B65" s="104"/>
      <c r="C65" s="121"/>
      <c r="D65" s="104"/>
      <c r="E65" s="104"/>
      <c r="F65" s="123"/>
      <c r="G65" s="85"/>
      <c r="H65" s="78"/>
      <c r="I65" s="53"/>
      <c r="J65" s="54"/>
      <c r="K65" s="54"/>
      <c r="L65" s="54"/>
      <c r="M65" s="54"/>
      <c r="N65" s="54"/>
      <c r="O65" s="54"/>
      <c r="P65" s="54"/>
      <c r="Q65" s="54"/>
      <c r="R65" s="55"/>
      <c r="S65" s="7"/>
    </row>
    <row r="66" spans="1:19" ht="15">
      <c r="A66" s="46" t="s">
        <v>29</v>
      </c>
      <c r="B66" s="91"/>
      <c r="C66" s="91"/>
      <c r="D66" s="91"/>
      <c r="E66" s="91"/>
      <c r="F66" s="125"/>
      <c r="G66" s="128"/>
      <c r="H66" s="129"/>
      <c r="I66" s="91"/>
      <c r="J66" s="91"/>
      <c r="K66" s="91"/>
      <c r="L66" s="91"/>
      <c r="M66" s="91"/>
      <c r="N66" s="91"/>
      <c r="O66" s="91"/>
      <c r="P66" s="91"/>
      <c r="Q66" s="91"/>
      <c r="R66" s="13">
        <f t="shared" si="0"/>
        <v>0</v>
      </c>
      <c r="S66" s="7">
        <f aca="true" t="shared" si="10" ref="S66:S131">+R66-E66</f>
        <v>0</v>
      </c>
    </row>
    <row r="67" spans="1:19" ht="15">
      <c r="A67" s="4" t="s">
        <v>150</v>
      </c>
      <c r="B67" s="109">
        <v>1000</v>
      </c>
      <c r="C67" s="64">
        <v>130.56</v>
      </c>
      <c r="D67" s="109">
        <v>1000</v>
      </c>
      <c r="E67" s="109">
        <v>1000</v>
      </c>
      <c r="F67" s="144">
        <f aca="true" t="shared" si="11" ref="F67:F130">+E67-B67</f>
        <v>0</v>
      </c>
      <c r="G67" s="128">
        <f>+E67*0.0814</f>
        <v>81.4</v>
      </c>
      <c r="H67" s="129">
        <f>+E67*0.1212</f>
        <v>121.2</v>
      </c>
      <c r="I67" s="91"/>
      <c r="J67" s="130"/>
      <c r="K67" s="130"/>
      <c r="L67" s="130"/>
      <c r="M67" s="130"/>
      <c r="N67" s="130"/>
      <c r="O67" s="130"/>
      <c r="P67" s="109"/>
      <c r="Q67" s="68">
        <v>794</v>
      </c>
      <c r="R67" s="13">
        <f t="shared" si="0"/>
        <v>996.6</v>
      </c>
      <c r="S67" s="7">
        <f t="shared" si="10"/>
        <v>-3.3999999999999773</v>
      </c>
    </row>
    <row r="68" spans="1:19" ht="15">
      <c r="A68" s="4" t="s">
        <v>151</v>
      </c>
      <c r="B68" s="109">
        <v>2700</v>
      </c>
      <c r="C68" s="64">
        <v>0</v>
      </c>
      <c r="D68" s="109">
        <v>2800</v>
      </c>
      <c r="E68" s="109">
        <v>2800</v>
      </c>
      <c r="F68" s="144">
        <f t="shared" si="11"/>
        <v>100</v>
      </c>
      <c r="G68" s="128">
        <f aca="true" t="shared" si="12" ref="G68:G82">+E68*0.0814</f>
        <v>227.92</v>
      </c>
      <c r="H68" s="129">
        <f aca="true" t="shared" si="13" ref="H68:H83">+E68*0.1212</f>
        <v>339.36</v>
      </c>
      <c r="I68" s="91"/>
      <c r="J68" s="130"/>
      <c r="K68" s="130"/>
      <c r="L68" s="130"/>
      <c r="M68" s="130"/>
      <c r="N68" s="130"/>
      <c r="O68" s="130"/>
      <c r="P68" s="109"/>
      <c r="Q68" s="68">
        <v>2143</v>
      </c>
      <c r="R68" s="13">
        <f t="shared" si="0"/>
        <v>2710.2799999999997</v>
      </c>
      <c r="S68" s="7">
        <f t="shared" si="10"/>
        <v>-89.72000000000025</v>
      </c>
    </row>
    <row r="69" spans="1:19" ht="15">
      <c r="A69" s="4" t="s">
        <v>152</v>
      </c>
      <c r="B69" s="109">
        <v>1000</v>
      </c>
      <c r="C69" s="64">
        <v>86.41</v>
      </c>
      <c r="D69" s="109">
        <v>500</v>
      </c>
      <c r="E69" s="109">
        <v>500</v>
      </c>
      <c r="F69" s="144">
        <f t="shared" si="11"/>
        <v>-500</v>
      </c>
      <c r="G69" s="128">
        <f t="shared" si="12"/>
        <v>40.7</v>
      </c>
      <c r="H69" s="129">
        <f t="shared" si="13"/>
        <v>60.6</v>
      </c>
      <c r="I69" s="91"/>
      <c r="J69" s="130"/>
      <c r="K69" s="130"/>
      <c r="L69" s="130"/>
      <c r="M69" s="130"/>
      <c r="N69" s="130"/>
      <c r="O69" s="130"/>
      <c r="P69" s="109"/>
      <c r="Q69" s="68">
        <v>794</v>
      </c>
      <c r="R69" s="13">
        <f t="shared" si="0"/>
        <v>895.3</v>
      </c>
      <c r="S69" s="7">
        <f t="shared" si="10"/>
        <v>395.29999999999995</v>
      </c>
    </row>
    <row r="70" spans="1:19" ht="15">
      <c r="A70" s="46" t="s">
        <v>30</v>
      </c>
      <c r="B70" s="91"/>
      <c r="C70" s="90"/>
      <c r="D70" s="91"/>
      <c r="E70" s="91"/>
      <c r="F70" s="160">
        <f t="shared" si="11"/>
        <v>0</v>
      </c>
      <c r="G70" s="128">
        <f t="shared" si="12"/>
        <v>0</v>
      </c>
      <c r="H70" s="129">
        <f t="shared" si="13"/>
        <v>0</v>
      </c>
      <c r="I70" s="91"/>
      <c r="J70" s="91"/>
      <c r="K70" s="91"/>
      <c r="L70" s="91"/>
      <c r="M70" s="91"/>
      <c r="N70" s="91"/>
      <c r="O70" s="91"/>
      <c r="P70" s="91"/>
      <c r="Q70" s="91"/>
      <c r="R70" s="13">
        <f t="shared" si="0"/>
        <v>0</v>
      </c>
      <c r="S70" s="7">
        <f t="shared" si="10"/>
        <v>0</v>
      </c>
    </row>
    <row r="71" spans="1:19" ht="15">
      <c r="A71" s="46" t="s">
        <v>31</v>
      </c>
      <c r="B71" s="91"/>
      <c r="C71" s="91"/>
      <c r="D71" s="91"/>
      <c r="E71" s="91"/>
      <c r="F71" s="125">
        <f t="shared" si="11"/>
        <v>0</v>
      </c>
      <c r="G71" s="128">
        <f t="shared" si="12"/>
        <v>0</v>
      </c>
      <c r="H71" s="129">
        <f t="shared" si="13"/>
        <v>0</v>
      </c>
      <c r="I71" s="91"/>
      <c r="J71" s="91"/>
      <c r="K71" s="91"/>
      <c r="L71" s="91"/>
      <c r="M71" s="91"/>
      <c r="N71" s="91"/>
      <c r="O71" s="91"/>
      <c r="P71" s="91"/>
      <c r="Q71" s="91"/>
      <c r="R71" s="13">
        <f t="shared" si="0"/>
        <v>0</v>
      </c>
      <c r="S71" s="7">
        <f t="shared" si="10"/>
        <v>0</v>
      </c>
    </row>
    <row r="72" spans="1:19" ht="15">
      <c r="A72" s="46" t="s">
        <v>32</v>
      </c>
      <c r="B72" s="91"/>
      <c r="C72" s="91"/>
      <c r="D72" s="91"/>
      <c r="E72" s="91"/>
      <c r="F72" s="125">
        <f t="shared" si="11"/>
        <v>0</v>
      </c>
      <c r="G72" s="128">
        <f t="shared" si="12"/>
        <v>0</v>
      </c>
      <c r="H72" s="129">
        <f t="shared" si="13"/>
        <v>0</v>
      </c>
      <c r="I72" s="91"/>
      <c r="J72" s="91"/>
      <c r="K72" s="91"/>
      <c r="L72" s="91"/>
      <c r="M72" s="91"/>
      <c r="N72" s="91"/>
      <c r="O72" s="91"/>
      <c r="P72" s="91"/>
      <c r="Q72" s="91"/>
      <c r="R72" s="13">
        <f t="shared" si="0"/>
        <v>0</v>
      </c>
      <c r="S72" s="7">
        <f t="shared" si="10"/>
        <v>0</v>
      </c>
    </row>
    <row r="73" spans="1:19" ht="15">
      <c r="A73" s="4" t="s">
        <v>172</v>
      </c>
      <c r="B73" s="109">
        <v>2500</v>
      </c>
      <c r="C73" s="64">
        <v>0</v>
      </c>
      <c r="D73" s="109">
        <v>0</v>
      </c>
      <c r="E73" s="109">
        <v>0</v>
      </c>
      <c r="F73" s="144">
        <f t="shared" si="11"/>
        <v>-2500</v>
      </c>
      <c r="G73" s="128">
        <f t="shared" si="12"/>
        <v>0</v>
      </c>
      <c r="H73" s="129">
        <f t="shared" si="13"/>
        <v>0</v>
      </c>
      <c r="I73" s="91"/>
      <c r="J73" s="109"/>
      <c r="K73" s="130"/>
      <c r="L73" s="109"/>
      <c r="M73" s="109"/>
      <c r="N73" s="109"/>
      <c r="O73" s="109"/>
      <c r="P73" s="68"/>
      <c r="Q73" s="68">
        <v>1985</v>
      </c>
      <c r="R73" s="13">
        <f t="shared" si="0"/>
        <v>1985</v>
      </c>
      <c r="S73" s="7">
        <f t="shared" si="10"/>
        <v>1985</v>
      </c>
    </row>
    <row r="74" spans="1:19" ht="15">
      <c r="A74" s="4" t="s">
        <v>117</v>
      </c>
      <c r="B74" s="109">
        <v>1100</v>
      </c>
      <c r="C74" s="64">
        <v>557.88</v>
      </c>
      <c r="D74" s="109">
        <v>1100</v>
      </c>
      <c r="E74" s="109">
        <v>1100</v>
      </c>
      <c r="F74" s="144">
        <f t="shared" si="11"/>
        <v>0</v>
      </c>
      <c r="G74" s="128">
        <f t="shared" si="12"/>
        <v>89.54</v>
      </c>
      <c r="H74" s="129">
        <f t="shared" si="13"/>
        <v>133.32</v>
      </c>
      <c r="I74" s="91"/>
      <c r="J74" s="109"/>
      <c r="K74" s="130"/>
      <c r="L74" s="109"/>
      <c r="M74" s="109"/>
      <c r="N74" s="109"/>
      <c r="O74" s="109"/>
      <c r="P74" s="68"/>
      <c r="Q74" s="68">
        <v>873</v>
      </c>
      <c r="R74" s="13">
        <f t="shared" si="0"/>
        <v>1095.8600000000001</v>
      </c>
      <c r="S74" s="7">
        <f t="shared" si="10"/>
        <v>-4.139999999999873</v>
      </c>
    </row>
    <row r="75" spans="1:19" ht="15">
      <c r="A75" s="4" t="s">
        <v>121</v>
      </c>
      <c r="B75" s="109">
        <v>1200</v>
      </c>
      <c r="C75" s="63">
        <v>429.89</v>
      </c>
      <c r="D75" s="109">
        <v>1000</v>
      </c>
      <c r="E75" s="109">
        <v>1000</v>
      </c>
      <c r="F75" s="144">
        <f t="shared" si="11"/>
        <v>-200</v>
      </c>
      <c r="G75" s="128">
        <f t="shared" si="12"/>
        <v>81.4</v>
      </c>
      <c r="H75" s="129">
        <f t="shared" si="13"/>
        <v>121.2</v>
      </c>
      <c r="I75" s="91"/>
      <c r="J75" s="109"/>
      <c r="K75" s="130"/>
      <c r="L75" s="109"/>
      <c r="M75" s="109"/>
      <c r="N75" s="109"/>
      <c r="O75" s="109"/>
      <c r="P75" s="68"/>
      <c r="Q75" s="68">
        <v>953</v>
      </c>
      <c r="R75" s="13">
        <f t="shared" si="0"/>
        <v>1155.6</v>
      </c>
      <c r="S75" s="7">
        <f t="shared" si="10"/>
        <v>155.5999999999999</v>
      </c>
    </row>
    <row r="76" spans="1:19" ht="15">
      <c r="A76" s="4" t="s">
        <v>33</v>
      </c>
      <c r="B76" s="109">
        <v>1000</v>
      </c>
      <c r="C76" s="63">
        <v>145</v>
      </c>
      <c r="D76" s="109">
        <v>500</v>
      </c>
      <c r="E76" s="109">
        <v>500</v>
      </c>
      <c r="F76" s="144">
        <f t="shared" si="11"/>
        <v>-500</v>
      </c>
      <c r="G76" s="128">
        <f t="shared" si="12"/>
        <v>40.7</v>
      </c>
      <c r="H76" s="129">
        <f t="shared" si="13"/>
        <v>60.6</v>
      </c>
      <c r="I76" s="91"/>
      <c r="J76" s="130"/>
      <c r="K76" s="130"/>
      <c r="L76" s="130"/>
      <c r="M76" s="130"/>
      <c r="N76" s="130"/>
      <c r="O76" s="130"/>
      <c r="P76" s="130"/>
      <c r="Q76" s="68">
        <v>794</v>
      </c>
      <c r="R76" s="13">
        <f t="shared" si="0"/>
        <v>895.3</v>
      </c>
      <c r="S76" s="7">
        <f t="shared" si="10"/>
        <v>395.29999999999995</v>
      </c>
    </row>
    <row r="77" spans="1:19" ht="15">
      <c r="A77" s="4" t="s">
        <v>34</v>
      </c>
      <c r="B77" s="109">
        <v>2500</v>
      </c>
      <c r="C77" s="68">
        <v>1216.44</v>
      </c>
      <c r="D77" s="109">
        <v>2500</v>
      </c>
      <c r="E77" s="109">
        <v>2500</v>
      </c>
      <c r="F77" s="144">
        <f t="shared" si="11"/>
        <v>0</v>
      </c>
      <c r="G77" s="128">
        <f t="shared" si="12"/>
        <v>203.5</v>
      </c>
      <c r="H77" s="129">
        <f t="shared" si="13"/>
        <v>303</v>
      </c>
      <c r="I77" s="91"/>
      <c r="J77" s="109"/>
      <c r="K77" s="130"/>
      <c r="L77" s="109"/>
      <c r="M77" s="109"/>
      <c r="N77" s="109"/>
      <c r="O77" s="109"/>
      <c r="P77" s="68"/>
      <c r="Q77" s="68">
        <v>1985</v>
      </c>
      <c r="R77" s="13">
        <f t="shared" si="0"/>
        <v>2491.5</v>
      </c>
      <c r="S77" s="7">
        <f t="shared" si="10"/>
        <v>-8.5</v>
      </c>
    </row>
    <row r="78" spans="1:19" ht="15">
      <c r="A78" s="46" t="s">
        <v>35</v>
      </c>
      <c r="B78" s="91"/>
      <c r="C78" s="90"/>
      <c r="D78" s="91"/>
      <c r="E78" s="91"/>
      <c r="F78" s="125">
        <f t="shared" si="11"/>
        <v>0</v>
      </c>
      <c r="G78" s="128">
        <f t="shared" si="12"/>
        <v>0</v>
      </c>
      <c r="H78" s="129">
        <f t="shared" si="13"/>
        <v>0</v>
      </c>
      <c r="I78" s="91"/>
      <c r="J78" s="91"/>
      <c r="K78" s="91"/>
      <c r="L78" s="91"/>
      <c r="M78" s="91"/>
      <c r="N78" s="91"/>
      <c r="O78" s="91"/>
      <c r="P78" s="91"/>
      <c r="Q78" s="91"/>
      <c r="R78" s="13">
        <f t="shared" si="0"/>
        <v>0</v>
      </c>
      <c r="S78" s="7">
        <f t="shared" si="10"/>
        <v>0</v>
      </c>
    </row>
    <row r="79" spans="1:19" ht="15">
      <c r="A79" s="4" t="s">
        <v>36</v>
      </c>
      <c r="B79" s="109">
        <v>38400</v>
      </c>
      <c r="C79" s="63">
        <v>19200</v>
      </c>
      <c r="D79" s="109">
        <v>38400</v>
      </c>
      <c r="E79" s="109">
        <v>38400</v>
      </c>
      <c r="F79" s="144">
        <f t="shared" si="11"/>
        <v>0</v>
      </c>
      <c r="G79" s="128">
        <f t="shared" si="12"/>
        <v>3125.76</v>
      </c>
      <c r="H79" s="129">
        <f t="shared" si="13"/>
        <v>4654.08</v>
      </c>
      <c r="I79" s="91"/>
      <c r="J79" s="68"/>
      <c r="K79" s="130"/>
      <c r="L79" s="109"/>
      <c r="M79" s="109"/>
      <c r="N79" s="109"/>
      <c r="O79" s="109"/>
      <c r="P79" s="130"/>
      <c r="Q79" s="68">
        <v>30482</v>
      </c>
      <c r="R79" s="13">
        <f aca="true" t="shared" si="14" ref="R79:R132">SUM(G79:Q79)</f>
        <v>38261.84</v>
      </c>
      <c r="S79" s="7">
        <f t="shared" si="10"/>
        <v>-138.1600000000035</v>
      </c>
    </row>
    <row r="80" spans="1:19" ht="15">
      <c r="A80" s="4" t="s">
        <v>37</v>
      </c>
      <c r="B80" s="109">
        <v>1600</v>
      </c>
      <c r="C80" s="68">
        <v>600</v>
      </c>
      <c r="D80" s="109">
        <v>1300</v>
      </c>
      <c r="E80" s="109">
        <v>1300</v>
      </c>
      <c r="F80" s="144">
        <f t="shared" si="11"/>
        <v>-300</v>
      </c>
      <c r="G80" s="128">
        <f t="shared" si="12"/>
        <v>105.82</v>
      </c>
      <c r="H80" s="129">
        <f t="shared" si="13"/>
        <v>157.56</v>
      </c>
      <c r="I80" s="91"/>
      <c r="J80" s="68"/>
      <c r="K80" s="130"/>
      <c r="L80" s="109"/>
      <c r="M80" s="109"/>
      <c r="N80" s="109"/>
      <c r="O80" s="109"/>
      <c r="P80" s="130"/>
      <c r="Q80" s="68">
        <v>1270</v>
      </c>
      <c r="R80" s="13">
        <f t="shared" si="14"/>
        <v>1533.38</v>
      </c>
      <c r="S80" s="7">
        <f t="shared" si="10"/>
        <v>233.3800000000001</v>
      </c>
    </row>
    <row r="81" spans="1:19" ht="15">
      <c r="A81" s="46" t="s">
        <v>38</v>
      </c>
      <c r="B81" s="91"/>
      <c r="C81" s="90"/>
      <c r="D81" s="91"/>
      <c r="E81" s="91"/>
      <c r="F81" s="125">
        <f t="shared" si="11"/>
        <v>0</v>
      </c>
      <c r="G81" s="128">
        <f t="shared" si="12"/>
        <v>0</v>
      </c>
      <c r="H81" s="129">
        <f t="shared" si="13"/>
        <v>0</v>
      </c>
      <c r="I81" s="91"/>
      <c r="J81" s="91"/>
      <c r="K81" s="91"/>
      <c r="L81" s="91"/>
      <c r="M81" s="91"/>
      <c r="N81" s="91"/>
      <c r="O81" s="91"/>
      <c r="P81" s="91"/>
      <c r="Q81" s="91"/>
      <c r="R81" s="13">
        <f t="shared" si="14"/>
        <v>0</v>
      </c>
      <c r="S81" s="7">
        <f t="shared" si="10"/>
        <v>0</v>
      </c>
    </row>
    <row r="82" spans="1:19" ht="15">
      <c r="A82" s="4" t="s">
        <v>127</v>
      </c>
      <c r="B82" s="109">
        <v>11000</v>
      </c>
      <c r="C82" s="68">
        <v>7828.6</v>
      </c>
      <c r="D82" s="109">
        <v>14400</v>
      </c>
      <c r="E82" s="109">
        <v>14400</v>
      </c>
      <c r="F82" s="144">
        <f t="shared" si="11"/>
        <v>3400</v>
      </c>
      <c r="G82" s="128">
        <f t="shared" si="12"/>
        <v>1172.16</v>
      </c>
      <c r="H82" s="129">
        <f t="shared" si="13"/>
        <v>1745.28</v>
      </c>
      <c r="I82" s="91"/>
      <c r="J82" s="109"/>
      <c r="K82" s="130"/>
      <c r="L82" s="130"/>
      <c r="M82" s="130"/>
      <c r="N82" s="130"/>
      <c r="O82" s="130"/>
      <c r="P82" s="130"/>
      <c r="Q82" s="68">
        <v>8732</v>
      </c>
      <c r="R82" s="13">
        <f t="shared" si="14"/>
        <v>11649.44</v>
      </c>
      <c r="S82" s="7">
        <f t="shared" si="10"/>
        <v>-2750.5599999999995</v>
      </c>
    </row>
    <row r="83" spans="1:19" ht="15">
      <c r="A83" s="46" t="s">
        <v>39</v>
      </c>
      <c r="B83" s="91"/>
      <c r="C83" s="90"/>
      <c r="D83" s="91"/>
      <c r="E83" s="91"/>
      <c r="F83" s="125">
        <f t="shared" si="11"/>
        <v>0</v>
      </c>
      <c r="G83" s="128">
        <f>+E83*0.0861</f>
        <v>0</v>
      </c>
      <c r="H83" s="129">
        <f t="shared" si="13"/>
        <v>0</v>
      </c>
      <c r="I83" s="91"/>
      <c r="J83" s="91"/>
      <c r="K83" s="91"/>
      <c r="L83" s="91"/>
      <c r="M83" s="91"/>
      <c r="N83" s="91"/>
      <c r="O83" s="91"/>
      <c r="P83" s="91"/>
      <c r="Q83" s="91"/>
      <c r="R83" s="13">
        <f t="shared" si="14"/>
        <v>0</v>
      </c>
      <c r="S83" s="7">
        <f t="shared" si="10"/>
        <v>0</v>
      </c>
    </row>
    <row r="84" spans="1:19" ht="15">
      <c r="A84" s="51" t="s">
        <v>128</v>
      </c>
      <c r="B84" s="68">
        <v>418145</v>
      </c>
      <c r="C84" s="64">
        <v>164459.896</v>
      </c>
      <c r="D84" s="68">
        <v>495958.83999999997</v>
      </c>
      <c r="E84" s="68">
        <v>444967</v>
      </c>
      <c r="F84" s="144">
        <f t="shared" si="11"/>
        <v>26822</v>
      </c>
      <c r="G84" s="128">
        <f>+ADC!E20</f>
        <v>139596.6</v>
      </c>
      <c r="H84" s="129">
        <f>+Nutrition!E17</f>
        <v>94462.16</v>
      </c>
      <c r="I84" s="91"/>
      <c r="J84" s="161"/>
      <c r="K84" s="130"/>
      <c r="L84" s="68"/>
      <c r="M84" s="68"/>
      <c r="N84" s="68"/>
      <c r="O84" s="68"/>
      <c r="P84" s="68"/>
      <c r="Q84" s="68">
        <v>206669</v>
      </c>
      <c r="R84" s="13">
        <f t="shared" si="14"/>
        <v>440727.76</v>
      </c>
      <c r="S84" s="7">
        <f t="shared" si="10"/>
        <v>-4239.239999999991</v>
      </c>
    </row>
    <row r="85" spans="1:19" ht="15">
      <c r="A85" s="51" t="s">
        <v>129</v>
      </c>
      <c r="B85" s="68">
        <v>31106</v>
      </c>
      <c r="C85" s="64">
        <v>14022.9</v>
      </c>
      <c r="D85" s="68">
        <v>36103.01526</v>
      </c>
      <c r="E85" s="68">
        <v>32520</v>
      </c>
      <c r="F85" s="144">
        <f t="shared" si="11"/>
        <v>1414</v>
      </c>
      <c r="G85" s="128">
        <f>+ADC!F20</f>
        <v>8841.303899999999</v>
      </c>
      <c r="H85" s="129">
        <f>+Nutrition!F17</f>
        <v>7226.35524</v>
      </c>
      <c r="I85" s="91"/>
      <c r="J85" s="161"/>
      <c r="K85" s="130"/>
      <c r="L85" s="68"/>
      <c r="M85" s="68"/>
      <c r="N85" s="68"/>
      <c r="O85" s="68"/>
      <c r="P85" s="68"/>
      <c r="Q85" s="68">
        <v>15810</v>
      </c>
      <c r="R85" s="13">
        <f t="shared" si="14"/>
        <v>31877.65914</v>
      </c>
      <c r="S85" s="7">
        <f t="shared" si="10"/>
        <v>-642.3408600000002</v>
      </c>
    </row>
    <row r="86" spans="1:19" ht="15">
      <c r="A86" s="51" t="s">
        <v>130</v>
      </c>
      <c r="B86" s="68">
        <v>2869</v>
      </c>
      <c r="C86" s="64">
        <v>147</v>
      </c>
      <c r="D86" s="68">
        <v>2679.8778</v>
      </c>
      <c r="E86" s="68">
        <v>2729</v>
      </c>
      <c r="F86" s="144">
        <f t="shared" si="11"/>
        <v>-140</v>
      </c>
      <c r="G86" s="128">
        <f>+ADC!G20</f>
        <v>720.016</v>
      </c>
      <c r="H86" s="129">
        <f>+Nutrition!G17</f>
        <v>540</v>
      </c>
      <c r="I86" s="91"/>
      <c r="J86" s="161"/>
      <c r="K86" s="130"/>
      <c r="L86" s="68"/>
      <c r="M86" s="68"/>
      <c r="N86" s="68"/>
      <c r="O86" s="68"/>
      <c r="P86" s="68"/>
      <c r="Q86" s="68">
        <v>1477</v>
      </c>
      <c r="R86" s="13">
        <f t="shared" si="14"/>
        <v>2737.016</v>
      </c>
      <c r="S86" s="7">
        <f t="shared" si="10"/>
        <v>8.016000000000076</v>
      </c>
    </row>
    <row r="87" spans="1:19" ht="15">
      <c r="A87" s="51" t="s">
        <v>131</v>
      </c>
      <c r="B87" s="68">
        <v>5710</v>
      </c>
      <c r="C87" s="64">
        <v>3939</v>
      </c>
      <c r="D87" s="68">
        <v>5986.601446799999</v>
      </c>
      <c r="E87" s="68">
        <v>6199</v>
      </c>
      <c r="F87" s="144">
        <f t="shared" si="11"/>
        <v>489</v>
      </c>
      <c r="G87" s="128">
        <f>+ADC!H20</f>
        <v>1907.0843999999997</v>
      </c>
      <c r="H87" s="129">
        <f>+Nutrition!H17</f>
        <v>1613.3748799999998</v>
      </c>
      <c r="I87" s="91"/>
      <c r="J87" s="161"/>
      <c r="K87" s="130"/>
      <c r="L87" s="68"/>
      <c r="M87" s="68"/>
      <c r="N87" s="68"/>
      <c r="O87" s="68"/>
      <c r="P87" s="68"/>
      <c r="Q87" s="68">
        <v>1055</v>
      </c>
      <c r="R87" s="13">
        <f t="shared" si="14"/>
        <v>4575.459279999999</v>
      </c>
      <c r="S87" s="7">
        <f t="shared" si="10"/>
        <v>-1623.5407200000009</v>
      </c>
    </row>
    <row r="88" spans="1:19" ht="15">
      <c r="A88" s="46" t="s">
        <v>40</v>
      </c>
      <c r="B88" s="91">
        <v>-15000</v>
      </c>
      <c r="C88" s="90"/>
      <c r="D88" s="91"/>
      <c r="E88" s="91"/>
      <c r="F88" s="125">
        <f t="shared" si="11"/>
        <v>15000</v>
      </c>
      <c r="G88" s="128"/>
      <c r="H88" s="129"/>
      <c r="I88" s="91"/>
      <c r="J88" s="91"/>
      <c r="K88" s="91"/>
      <c r="L88" s="91"/>
      <c r="M88" s="91"/>
      <c r="N88" s="91"/>
      <c r="O88" s="91"/>
      <c r="P88" s="91"/>
      <c r="Q88" s="91"/>
      <c r="R88" s="13">
        <f t="shared" si="14"/>
        <v>0</v>
      </c>
      <c r="S88" s="7">
        <f t="shared" si="10"/>
        <v>0</v>
      </c>
    </row>
    <row r="89" spans="1:19" ht="15">
      <c r="A89" s="4" t="s">
        <v>132</v>
      </c>
      <c r="B89" s="68">
        <v>3527</v>
      </c>
      <c r="C89" s="63">
        <v>984.78</v>
      </c>
      <c r="D89" s="68">
        <v>3135.04</v>
      </c>
      <c r="E89" s="68">
        <f>+'$1 increase'!I47</f>
        <v>3433.32</v>
      </c>
      <c r="F89" s="144">
        <f t="shared" si="11"/>
        <v>-93.67999999999984</v>
      </c>
      <c r="G89" s="128">
        <f>+ADC!I20</f>
        <v>762.96</v>
      </c>
      <c r="H89" s="129">
        <f>+Nutrition!I17</f>
        <v>381.48</v>
      </c>
      <c r="I89" s="91"/>
      <c r="J89" s="68"/>
      <c r="K89" s="130"/>
      <c r="L89" s="68"/>
      <c r="M89" s="68"/>
      <c r="N89" s="68"/>
      <c r="O89" s="68"/>
      <c r="P89" s="68"/>
      <c r="Q89" s="68">
        <v>1959</v>
      </c>
      <c r="R89" s="13">
        <f t="shared" si="14"/>
        <v>3103.44</v>
      </c>
      <c r="S89" s="7">
        <f t="shared" si="10"/>
        <v>-329.8800000000001</v>
      </c>
    </row>
    <row r="90" spans="1:19" ht="15">
      <c r="A90" s="4" t="s">
        <v>133</v>
      </c>
      <c r="B90" s="68">
        <v>7801</v>
      </c>
      <c r="C90" s="63">
        <v>2863.78</v>
      </c>
      <c r="D90" s="68">
        <v>9220.036799999998</v>
      </c>
      <c r="E90" s="68">
        <v>8669</v>
      </c>
      <c r="F90" s="144">
        <f t="shared" si="11"/>
        <v>868</v>
      </c>
      <c r="G90" s="128">
        <f>+ADC!J20</f>
        <v>2478.138</v>
      </c>
      <c r="H90" s="129">
        <f>+Nutrition!K17</f>
        <v>1510.9848000000002</v>
      </c>
      <c r="I90" s="91"/>
      <c r="J90" s="68"/>
      <c r="K90" s="130"/>
      <c r="L90" s="68"/>
      <c r="M90" s="68"/>
      <c r="N90" s="68"/>
      <c r="O90" s="68"/>
      <c r="P90" s="68"/>
      <c r="Q90" s="68">
        <v>3992</v>
      </c>
      <c r="R90" s="13">
        <f t="shared" si="14"/>
        <v>7981.1228</v>
      </c>
      <c r="S90" s="7">
        <f t="shared" si="10"/>
        <v>-687.8771999999999</v>
      </c>
    </row>
    <row r="91" spans="1:19" ht="15">
      <c r="A91" s="4" t="s">
        <v>134</v>
      </c>
      <c r="B91" s="68">
        <v>7801</v>
      </c>
      <c r="C91" s="63">
        <v>2872.78</v>
      </c>
      <c r="D91" s="68">
        <v>9220.036799999998</v>
      </c>
      <c r="E91" s="68">
        <v>8669</v>
      </c>
      <c r="F91" s="144">
        <f t="shared" si="11"/>
        <v>868</v>
      </c>
      <c r="G91" s="128">
        <f>+ADC!K20</f>
        <v>2478.138</v>
      </c>
      <c r="H91" s="129">
        <f>+Nutrition!J17</f>
        <v>1510.9848000000002</v>
      </c>
      <c r="I91" s="91"/>
      <c r="J91" s="68"/>
      <c r="K91" s="130"/>
      <c r="L91" s="68"/>
      <c r="M91" s="68"/>
      <c r="N91" s="68"/>
      <c r="O91" s="68"/>
      <c r="P91" s="68"/>
      <c r="Q91" s="68">
        <v>4524</v>
      </c>
      <c r="R91" s="13">
        <f t="shared" si="14"/>
        <v>8513.122800000001</v>
      </c>
      <c r="S91" s="7">
        <f t="shared" si="10"/>
        <v>-155.877199999999</v>
      </c>
    </row>
    <row r="92" spans="1:19" ht="15">
      <c r="A92" s="4" t="s">
        <v>135</v>
      </c>
      <c r="B92" s="68">
        <v>1150</v>
      </c>
      <c r="C92" s="68">
        <v>1100</v>
      </c>
      <c r="D92" s="68">
        <v>1150</v>
      </c>
      <c r="E92" s="68">
        <v>1150</v>
      </c>
      <c r="F92" s="144">
        <f t="shared" si="11"/>
        <v>0</v>
      </c>
      <c r="G92" s="128">
        <v>400</v>
      </c>
      <c r="H92" s="129">
        <v>250</v>
      </c>
      <c r="I92" s="91"/>
      <c r="J92" s="68"/>
      <c r="K92" s="130"/>
      <c r="L92" s="68"/>
      <c r="M92" s="68"/>
      <c r="N92" s="68"/>
      <c r="O92" s="68"/>
      <c r="P92" s="68"/>
      <c r="Q92" s="68">
        <v>500</v>
      </c>
      <c r="R92" s="13">
        <f t="shared" si="14"/>
        <v>1150</v>
      </c>
      <c r="S92" s="7">
        <f t="shared" si="10"/>
        <v>0</v>
      </c>
    </row>
    <row r="93" spans="1:19" ht="15">
      <c r="A93" s="46" t="s">
        <v>41</v>
      </c>
      <c r="B93" s="91"/>
      <c r="C93" s="90"/>
      <c r="D93" s="91"/>
      <c r="E93" s="91"/>
      <c r="F93" s="125">
        <f t="shared" si="11"/>
        <v>0</v>
      </c>
      <c r="G93" s="128"/>
      <c r="H93" s="129"/>
      <c r="I93" s="91"/>
      <c r="J93" s="91"/>
      <c r="K93" s="91"/>
      <c r="L93" s="91"/>
      <c r="M93" s="91"/>
      <c r="N93" s="91"/>
      <c r="O93" s="91"/>
      <c r="P93" s="91"/>
      <c r="Q93" s="91"/>
      <c r="R93" s="13">
        <f t="shared" si="14"/>
        <v>0</v>
      </c>
      <c r="S93" s="7">
        <f t="shared" si="10"/>
        <v>0</v>
      </c>
    </row>
    <row r="94" spans="1:19" ht="15">
      <c r="A94" s="46" t="s">
        <v>42</v>
      </c>
      <c r="B94" s="91">
        <v>2000</v>
      </c>
      <c r="C94" s="91">
        <v>7709.88</v>
      </c>
      <c r="D94" s="91">
        <v>2000</v>
      </c>
      <c r="E94" s="91">
        <v>2000</v>
      </c>
      <c r="F94" s="125">
        <f t="shared" si="11"/>
        <v>0</v>
      </c>
      <c r="G94" s="128">
        <f aca="true" t="shared" si="15" ref="G94:G131">+E94*0.0814</f>
        <v>162.8</v>
      </c>
      <c r="H94" s="129">
        <f aca="true" t="shared" si="16" ref="H94:H131">+E94*0.1212</f>
        <v>242.4</v>
      </c>
      <c r="I94" s="91"/>
      <c r="J94" s="91"/>
      <c r="K94" s="91"/>
      <c r="L94" s="91"/>
      <c r="M94" s="91"/>
      <c r="N94" s="91"/>
      <c r="O94" s="91"/>
      <c r="P94" s="91"/>
      <c r="Q94" s="91">
        <v>8732</v>
      </c>
      <c r="R94" s="13">
        <f t="shared" si="14"/>
        <v>9137.2</v>
      </c>
      <c r="S94" s="7">
        <f t="shared" si="10"/>
        <v>7137.200000000001</v>
      </c>
    </row>
    <row r="95" spans="1:19" ht="15">
      <c r="A95" s="46" t="s">
        <v>43</v>
      </c>
      <c r="B95" s="91"/>
      <c r="C95" s="90"/>
      <c r="D95" s="91"/>
      <c r="E95" s="91"/>
      <c r="F95" s="125">
        <f t="shared" si="11"/>
        <v>0</v>
      </c>
      <c r="G95" s="128">
        <f t="shared" si="15"/>
        <v>0</v>
      </c>
      <c r="H95" s="129">
        <f t="shared" si="16"/>
        <v>0</v>
      </c>
      <c r="I95" s="91"/>
      <c r="J95" s="91"/>
      <c r="K95" s="91"/>
      <c r="L95" s="91"/>
      <c r="M95" s="91"/>
      <c r="N95" s="91"/>
      <c r="O95" s="91"/>
      <c r="P95" s="91"/>
      <c r="Q95" s="91"/>
      <c r="R95" s="13">
        <f t="shared" si="14"/>
        <v>0</v>
      </c>
      <c r="S95" s="7">
        <f t="shared" si="10"/>
        <v>0</v>
      </c>
    </row>
    <row r="96" spans="1:19" ht="15">
      <c r="A96" s="4" t="s">
        <v>136</v>
      </c>
      <c r="B96" s="68">
        <v>48000</v>
      </c>
      <c r="C96" s="64">
        <v>19177.1</v>
      </c>
      <c r="D96" s="68">
        <v>40000</v>
      </c>
      <c r="E96" s="68">
        <v>30100</v>
      </c>
      <c r="F96" s="144">
        <f t="shared" si="11"/>
        <v>-17900</v>
      </c>
      <c r="G96" s="128"/>
      <c r="H96" s="129">
        <v>43600</v>
      </c>
      <c r="I96" s="91"/>
      <c r="J96" s="68"/>
      <c r="K96" s="130"/>
      <c r="L96" s="130"/>
      <c r="M96" s="130"/>
      <c r="N96" s="130"/>
      <c r="O96" s="130"/>
      <c r="P96" s="130"/>
      <c r="Q96" s="68"/>
      <c r="R96" s="13">
        <f t="shared" si="14"/>
        <v>43600</v>
      </c>
      <c r="S96" s="7">
        <f t="shared" si="10"/>
        <v>13500</v>
      </c>
    </row>
    <row r="97" spans="1:19" ht="15">
      <c r="A97" s="4" t="s">
        <v>138</v>
      </c>
      <c r="B97" s="109">
        <v>100</v>
      </c>
      <c r="C97" s="64">
        <v>30</v>
      </c>
      <c r="D97" s="109">
        <v>100</v>
      </c>
      <c r="E97" s="109">
        <v>100</v>
      </c>
      <c r="F97" s="144">
        <f t="shared" si="11"/>
        <v>0</v>
      </c>
      <c r="G97" s="128"/>
      <c r="H97" s="129">
        <v>100</v>
      </c>
      <c r="I97" s="91"/>
      <c r="J97" s="130"/>
      <c r="K97" s="130"/>
      <c r="L97" s="130"/>
      <c r="M97" s="130"/>
      <c r="N97" s="130"/>
      <c r="O97" s="130"/>
      <c r="P97" s="130"/>
      <c r="Q97" s="68">
        <v>79</v>
      </c>
      <c r="R97" s="13">
        <f t="shared" si="14"/>
        <v>179</v>
      </c>
      <c r="S97" s="7">
        <f t="shared" si="10"/>
        <v>79</v>
      </c>
    </row>
    <row r="98" spans="1:19" ht="15">
      <c r="A98" s="4" t="s">
        <v>137</v>
      </c>
      <c r="B98" s="109">
        <v>8500</v>
      </c>
      <c r="C98" s="68">
        <v>3181.27</v>
      </c>
      <c r="D98" s="109">
        <v>6000</v>
      </c>
      <c r="E98" s="109">
        <v>4500</v>
      </c>
      <c r="F98" s="144">
        <f t="shared" si="11"/>
        <v>-4000</v>
      </c>
      <c r="G98" s="128"/>
      <c r="H98" s="129">
        <v>6500</v>
      </c>
      <c r="I98" s="91"/>
      <c r="J98" s="68"/>
      <c r="K98" s="130"/>
      <c r="L98" s="130"/>
      <c r="M98" s="130"/>
      <c r="N98" s="130"/>
      <c r="O98" s="130"/>
      <c r="P98" s="130"/>
      <c r="Q98" s="68"/>
      <c r="R98" s="13">
        <f t="shared" si="14"/>
        <v>6500</v>
      </c>
      <c r="S98" s="7">
        <f t="shared" si="10"/>
        <v>2000</v>
      </c>
    </row>
    <row r="99" spans="1:19" ht="15">
      <c r="A99" s="46" t="s">
        <v>44</v>
      </c>
      <c r="B99" s="91"/>
      <c r="C99" s="90"/>
      <c r="D99" s="91"/>
      <c r="E99" s="91"/>
      <c r="F99" s="125">
        <f t="shared" si="11"/>
        <v>0</v>
      </c>
      <c r="G99" s="128">
        <f t="shared" si="15"/>
        <v>0</v>
      </c>
      <c r="H99" s="129">
        <f t="shared" si="16"/>
        <v>0</v>
      </c>
      <c r="I99" s="91"/>
      <c r="J99" s="91"/>
      <c r="K99" s="91"/>
      <c r="L99" s="91"/>
      <c r="M99" s="91"/>
      <c r="N99" s="91"/>
      <c r="O99" s="91"/>
      <c r="P99" s="91"/>
      <c r="Q99" s="91"/>
      <c r="R99" s="13">
        <f t="shared" si="14"/>
        <v>0</v>
      </c>
      <c r="S99" s="7">
        <f t="shared" si="10"/>
        <v>0</v>
      </c>
    </row>
    <row r="100" spans="1:19" ht="15">
      <c r="A100" s="4" t="s">
        <v>160</v>
      </c>
      <c r="B100" s="109">
        <v>2800</v>
      </c>
      <c r="C100" s="63">
        <v>0</v>
      </c>
      <c r="D100" s="109">
        <v>2820</v>
      </c>
      <c r="E100" s="109">
        <v>2820</v>
      </c>
      <c r="F100" s="144">
        <f t="shared" si="11"/>
        <v>20</v>
      </c>
      <c r="G100" s="128">
        <f t="shared" si="15"/>
        <v>229.548</v>
      </c>
      <c r="H100" s="129">
        <f t="shared" si="16"/>
        <v>341.784</v>
      </c>
      <c r="I100" s="91"/>
      <c r="J100" s="130"/>
      <c r="K100" s="130"/>
      <c r="L100" s="130"/>
      <c r="M100" s="130"/>
      <c r="N100" s="130"/>
      <c r="O100" s="130"/>
      <c r="P100" s="130"/>
      <c r="Q100" s="68">
        <v>2223</v>
      </c>
      <c r="R100" s="13">
        <f t="shared" si="14"/>
        <v>2794.332</v>
      </c>
      <c r="S100" s="7">
        <f t="shared" si="10"/>
        <v>-25.66800000000012</v>
      </c>
    </row>
    <row r="101" spans="1:19" ht="15">
      <c r="A101" s="4" t="s">
        <v>161</v>
      </c>
      <c r="B101" s="109">
        <v>2310</v>
      </c>
      <c r="C101" s="64">
        <v>0</v>
      </c>
      <c r="D101" s="109">
        <v>2338</v>
      </c>
      <c r="E101" s="109">
        <v>2338</v>
      </c>
      <c r="F101" s="144">
        <f t="shared" si="11"/>
        <v>28</v>
      </c>
      <c r="G101" s="128">
        <f t="shared" si="15"/>
        <v>190.3132</v>
      </c>
      <c r="H101" s="129">
        <f t="shared" si="16"/>
        <v>283.36560000000003</v>
      </c>
      <c r="I101" s="91"/>
      <c r="J101" s="130"/>
      <c r="K101" s="130"/>
      <c r="L101" s="130"/>
      <c r="M101" s="130"/>
      <c r="N101" s="130"/>
      <c r="O101" s="130"/>
      <c r="P101" s="130"/>
      <c r="Q101" s="68">
        <v>1834</v>
      </c>
      <c r="R101" s="13">
        <f t="shared" si="14"/>
        <v>2307.6788</v>
      </c>
      <c r="S101" s="7">
        <f t="shared" si="10"/>
        <v>-30.321199999999862</v>
      </c>
    </row>
    <row r="102" spans="1:19" ht="15">
      <c r="A102" s="4" t="s">
        <v>162</v>
      </c>
      <c r="B102" s="109">
        <v>816</v>
      </c>
      <c r="C102" s="68">
        <v>0</v>
      </c>
      <c r="D102" s="109">
        <v>842</v>
      </c>
      <c r="E102" s="109">
        <v>842</v>
      </c>
      <c r="F102" s="144">
        <f t="shared" si="11"/>
        <v>26</v>
      </c>
      <c r="G102" s="128">
        <f t="shared" si="15"/>
        <v>68.5388</v>
      </c>
      <c r="H102" s="129">
        <f t="shared" si="16"/>
        <v>102.0504</v>
      </c>
      <c r="I102" s="91"/>
      <c r="J102" s="130"/>
      <c r="K102" s="130"/>
      <c r="L102" s="130"/>
      <c r="M102" s="130"/>
      <c r="N102" s="130"/>
      <c r="O102" s="130"/>
      <c r="P102" s="130"/>
      <c r="Q102" s="68">
        <v>648</v>
      </c>
      <c r="R102" s="13">
        <f t="shared" si="14"/>
        <v>818.5892</v>
      </c>
      <c r="S102" s="7">
        <f t="shared" si="10"/>
        <v>-23.410799999999995</v>
      </c>
    </row>
    <row r="103" spans="1:19" ht="15">
      <c r="A103" s="46" t="s">
        <v>45</v>
      </c>
      <c r="B103" s="91"/>
      <c r="C103" s="90"/>
      <c r="D103" s="91"/>
      <c r="E103" s="91"/>
      <c r="F103" s="125">
        <f t="shared" si="11"/>
        <v>0</v>
      </c>
      <c r="G103" s="128">
        <f t="shared" si="15"/>
        <v>0</v>
      </c>
      <c r="H103" s="129">
        <f t="shared" si="16"/>
        <v>0</v>
      </c>
      <c r="I103" s="91"/>
      <c r="J103" s="91"/>
      <c r="K103" s="91"/>
      <c r="L103" s="91"/>
      <c r="M103" s="91"/>
      <c r="N103" s="91"/>
      <c r="O103" s="91"/>
      <c r="P103" s="91"/>
      <c r="Q103" s="91"/>
      <c r="R103" s="13">
        <f t="shared" si="14"/>
        <v>0</v>
      </c>
      <c r="S103" s="7">
        <f t="shared" si="10"/>
        <v>0</v>
      </c>
    </row>
    <row r="104" spans="1:19" ht="15">
      <c r="A104" s="4" t="s">
        <v>139</v>
      </c>
      <c r="B104" s="109">
        <v>8000</v>
      </c>
      <c r="C104" s="64">
        <v>9450</v>
      </c>
      <c r="D104" s="109">
        <v>9500</v>
      </c>
      <c r="E104" s="109">
        <v>12000</v>
      </c>
      <c r="F104" s="144">
        <f t="shared" si="11"/>
        <v>4000</v>
      </c>
      <c r="G104" s="128">
        <f t="shared" si="15"/>
        <v>976.8</v>
      </c>
      <c r="H104" s="129">
        <f t="shared" si="16"/>
        <v>1454.4</v>
      </c>
      <c r="I104" s="91"/>
      <c r="J104" s="130"/>
      <c r="K104" s="130"/>
      <c r="L104" s="130"/>
      <c r="M104" s="130"/>
      <c r="N104" s="130"/>
      <c r="O104" s="130"/>
      <c r="P104" s="130"/>
      <c r="Q104" s="68">
        <v>6350</v>
      </c>
      <c r="R104" s="13">
        <f t="shared" si="14"/>
        <v>8781.2</v>
      </c>
      <c r="S104" s="7">
        <f t="shared" si="10"/>
        <v>-3218.7999999999993</v>
      </c>
    </row>
    <row r="105" spans="1:19" ht="15">
      <c r="A105" s="4" t="s">
        <v>163</v>
      </c>
      <c r="B105" s="109">
        <v>500</v>
      </c>
      <c r="C105" s="63">
        <v>0</v>
      </c>
      <c r="D105" s="109">
        <v>500</v>
      </c>
      <c r="E105" s="109">
        <v>500</v>
      </c>
      <c r="F105" s="144">
        <f t="shared" si="11"/>
        <v>0</v>
      </c>
      <c r="G105" s="128">
        <f t="shared" si="15"/>
        <v>40.7</v>
      </c>
      <c r="H105" s="129">
        <f t="shared" si="16"/>
        <v>60.6</v>
      </c>
      <c r="I105" s="91"/>
      <c r="J105" s="130"/>
      <c r="K105" s="130"/>
      <c r="L105" s="130"/>
      <c r="M105" s="130"/>
      <c r="N105" s="130"/>
      <c r="O105" s="130"/>
      <c r="P105" s="130"/>
      <c r="Q105" s="68">
        <v>397</v>
      </c>
      <c r="R105" s="13">
        <f t="shared" si="14"/>
        <v>498.3</v>
      </c>
      <c r="S105" s="7">
        <f t="shared" si="10"/>
        <v>-1.6999999999999886</v>
      </c>
    </row>
    <row r="106" spans="1:19" ht="15">
      <c r="A106" s="4" t="s">
        <v>164</v>
      </c>
      <c r="B106" s="109">
        <v>900</v>
      </c>
      <c r="C106" s="68">
        <v>410.86</v>
      </c>
      <c r="D106" s="109">
        <v>900</v>
      </c>
      <c r="E106" s="109">
        <v>900</v>
      </c>
      <c r="F106" s="144">
        <f t="shared" si="11"/>
        <v>0</v>
      </c>
      <c r="G106" s="128">
        <f t="shared" si="15"/>
        <v>73.26</v>
      </c>
      <c r="H106" s="129">
        <f t="shared" si="16"/>
        <v>109.08</v>
      </c>
      <c r="I106" s="91"/>
      <c r="J106" s="130"/>
      <c r="K106" s="130"/>
      <c r="L106" s="130"/>
      <c r="M106" s="130"/>
      <c r="N106" s="130"/>
      <c r="O106" s="130"/>
      <c r="P106" s="130"/>
      <c r="Q106" s="68">
        <v>714</v>
      </c>
      <c r="R106" s="13">
        <f t="shared" si="14"/>
        <v>896.34</v>
      </c>
      <c r="S106" s="7">
        <f t="shared" si="10"/>
        <v>-3.659999999999968</v>
      </c>
    </row>
    <row r="107" spans="1:19" ht="15">
      <c r="A107" s="46" t="s">
        <v>46</v>
      </c>
      <c r="B107" s="91"/>
      <c r="C107" s="90"/>
      <c r="D107" s="91"/>
      <c r="E107" s="91"/>
      <c r="F107" s="125">
        <f t="shared" si="11"/>
        <v>0</v>
      </c>
      <c r="G107" s="128">
        <f t="shared" si="15"/>
        <v>0</v>
      </c>
      <c r="H107" s="129">
        <f t="shared" si="16"/>
        <v>0</v>
      </c>
      <c r="I107" s="91"/>
      <c r="J107" s="91"/>
      <c r="K107" s="91"/>
      <c r="L107" s="91"/>
      <c r="M107" s="91"/>
      <c r="N107" s="91"/>
      <c r="O107" s="91"/>
      <c r="P107" s="91"/>
      <c r="Q107" s="91"/>
      <c r="R107" s="13">
        <f t="shared" si="14"/>
        <v>0</v>
      </c>
      <c r="S107" s="7">
        <f t="shared" si="10"/>
        <v>0</v>
      </c>
    </row>
    <row r="108" spans="1:19" ht="15">
      <c r="A108" s="4" t="s">
        <v>141</v>
      </c>
      <c r="B108" s="109">
        <v>1000</v>
      </c>
      <c r="C108" s="63">
        <v>550</v>
      </c>
      <c r="D108" s="109">
        <v>1000</v>
      </c>
      <c r="E108" s="109">
        <v>700</v>
      </c>
      <c r="F108" s="144">
        <f t="shared" si="11"/>
        <v>-300</v>
      </c>
      <c r="G108" s="128">
        <f t="shared" si="15"/>
        <v>56.98</v>
      </c>
      <c r="H108" s="129">
        <f t="shared" si="16"/>
        <v>84.84</v>
      </c>
      <c r="I108" s="91"/>
      <c r="J108" s="130"/>
      <c r="K108" s="130"/>
      <c r="L108" s="130"/>
      <c r="M108" s="130"/>
      <c r="N108" s="130"/>
      <c r="O108" s="130"/>
      <c r="P108" s="130"/>
      <c r="Q108" s="68">
        <v>794</v>
      </c>
      <c r="R108" s="13">
        <f t="shared" si="14"/>
        <v>935.8199999999999</v>
      </c>
      <c r="S108" s="7">
        <f t="shared" si="10"/>
        <v>235.81999999999994</v>
      </c>
    </row>
    <row r="109" spans="1:19" ht="15">
      <c r="A109" s="4" t="s">
        <v>140</v>
      </c>
      <c r="B109" s="109">
        <v>1000</v>
      </c>
      <c r="C109" s="68">
        <v>252.45</v>
      </c>
      <c r="D109" s="109">
        <v>1000</v>
      </c>
      <c r="E109" s="109">
        <v>700</v>
      </c>
      <c r="F109" s="144">
        <f t="shared" si="11"/>
        <v>-300</v>
      </c>
      <c r="G109" s="128">
        <f t="shared" si="15"/>
        <v>56.98</v>
      </c>
      <c r="H109" s="129">
        <f t="shared" si="16"/>
        <v>84.84</v>
      </c>
      <c r="I109" s="91"/>
      <c r="J109" s="130"/>
      <c r="K109" s="130"/>
      <c r="L109" s="109"/>
      <c r="M109" s="109"/>
      <c r="N109" s="109"/>
      <c r="O109" s="109"/>
      <c r="P109" s="68"/>
      <c r="Q109" s="68">
        <v>794</v>
      </c>
      <c r="R109" s="13">
        <f t="shared" si="14"/>
        <v>935.8199999999999</v>
      </c>
      <c r="S109" s="7">
        <f t="shared" si="10"/>
        <v>235.81999999999994</v>
      </c>
    </row>
    <row r="110" spans="1:19" ht="15">
      <c r="A110" s="46" t="s">
        <v>47</v>
      </c>
      <c r="B110" s="91"/>
      <c r="C110" s="90"/>
      <c r="D110" s="91"/>
      <c r="E110" s="91"/>
      <c r="F110" s="125">
        <f t="shared" si="11"/>
        <v>0</v>
      </c>
      <c r="G110" s="128">
        <f t="shared" si="15"/>
        <v>0</v>
      </c>
      <c r="H110" s="129">
        <f t="shared" si="16"/>
        <v>0</v>
      </c>
      <c r="I110" s="91"/>
      <c r="J110" s="91"/>
      <c r="K110" s="91"/>
      <c r="L110" s="91"/>
      <c r="M110" s="91"/>
      <c r="N110" s="91"/>
      <c r="O110" s="91"/>
      <c r="P110" s="91"/>
      <c r="Q110" s="91"/>
      <c r="R110" s="13">
        <f t="shared" si="14"/>
        <v>0</v>
      </c>
      <c r="S110" s="7">
        <f t="shared" si="10"/>
        <v>0</v>
      </c>
    </row>
    <row r="111" spans="1:19" ht="15">
      <c r="A111" s="4" t="s">
        <v>48</v>
      </c>
      <c r="B111" s="109">
        <v>9000</v>
      </c>
      <c r="C111" s="64">
        <v>9846.78</v>
      </c>
      <c r="D111" s="109">
        <v>9000</v>
      </c>
      <c r="E111" s="109">
        <v>9000</v>
      </c>
      <c r="F111" s="144">
        <f t="shared" si="11"/>
        <v>0</v>
      </c>
      <c r="G111" s="128">
        <f t="shared" si="15"/>
        <v>732.6</v>
      </c>
      <c r="H111" s="129">
        <f t="shared" si="16"/>
        <v>1090.8</v>
      </c>
      <c r="I111" s="91"/>
      <c r="J111" s="109"/>
      <c r="K111" s="130"/>
      <c r="L111" s="109"/>
      <c r="M111" s="109"/>
      <c r="N111" s="109"/>
      <c r="O111" s="109"/>
      <c r="P111" s="109"/>
      <c r="Q111" s="68">
        <v>7144</v>
      </c>
      <c r="R111" s="13">
        <f t="shared" si="14"/>
        <v>8967.4</v>
      </c>
      <c r="S111" s="7">
        <f t="shared" si="10"/>
        <v>-32.600000000000364</v>
      </c>
    </row>
    <row r="112" spans="1:19" ht="15">
      <c r="A112" s="4" t="s">
        <v>49</v>
      </c>
      <c r="B112" s="109">
        <v>8000</v>
      </c>
      <c r="C112" s="64">
        <v>10816.32</v>
      </c>
      <c r="D112" s="109">
        <v>8000</v>
      </c>
      <c r="E112" s="109">
        <v>8000</v>
      </c>
      <c r="F112" s="144">
        <f t="shared" si="11"/>
        <v>0</v>
      </c>
      <c r="G112" s="128">
        <f t="shared" si="15"/>
        <v>651.2</v>
      </c>
      <c r="H112" s="129">
        <f t="shared" si="16"/>
        <v>969.6</v>
      </c>
      <c r="I112" s="91"/>
      <c r="J112" s="109"/>
      <c r="K112" s="130"/>
      <c r="L112" s="109"/>
      <c r="M112" s="109"/>
      <c r="N112" s="109"/>
      <c r="O112" s="109"/>
      <c r="P112" s="130"/>
      <c r="Q112" s="68">
        <v>6350</v>
      </c>
      <c r="R112" s="13">
        <f t="shared" si="14"/>
        <v>7970.8</v>
      </c>
      <c r="S112" s="7">
        <f t="shared" si="10"/>
        <v>-29.199999999999818</v>
      </c>
    </row>
    <row r="113" spans="1:19" ht="15">
      <c r="A113" s="4" t="s">
        <v>50</v>
      </c>
      <c r="B113" s="109">
        <v>4000</v>
      </c>
      <c r="C113" s="64">
        <v>1732.2</v>
      </c>
      <c r="D113" s="109">
        <v>4000</v>
      </c>
      <c r="E113" s="109">
        <v>4000</v>
      </c>
      <c r="F113" s="144">
        <f t="shared" si="11"/>
        <v>0</v>
      </c>
      <c r="G113" s="128">
        <f t="shared" si="15"/>
        <v>325.6</v>
      </c>
      <c r="H113" s="129">
        <f t="shared" si="16"/>
        <v>484.8</v>
      </c>
      <c r="I113" s="91"/>
      <c r="J113" s="109"/>
      <c r="K113" s="68"/>
      <c r="L113" s="109"/>
      <c r="M113" s="109"/>
      <c r="N113" s="109"/>
      <c r="O113" s="109"/>
      <c r="P113" s="109"/>
      <c r="Q113" s="68">
        <v>3175</v>
      </c>
      <c r="R113" s="13">
        <f t="shared" si="14"/>
        <v>3985.4</v>
      </c>
      <c r="S113" s="7">
        <f t="shared" si="10"/>
        <v>-14.599999999999909</v>
      </c>
    </row>
    <row r="114" spans="1:19" ht="15">
      <c r="A114" s="4" t="s">
        <v>51</v>
      </c>
      <c r="B114" s="109">
        <v>2500</v>
      </c>
      <c r="C114" s="64">
        <v>1030.25</v>
      </c>
      <c r="D114" s="109">
        <v>2200</v>
      </c>
      <c r="E114" s="109">
        <v>2200</v>
      </c>
      <c r="F114" s="144">
        <f t="shared" si="11"/>
        <v>-300</v>
      </c>
      <c r="G114" s="128">
        <f t="shared" si="15"/>
        <v>179.08</v>
      </c>
      <c r="H114" s="129">
        <f t="shared" si="16"/>
        <v>266.64</v>
      </c>
      <c r="I114" s="91"/>
      <c r="J114" s="130"/>
      <c r="K114" s="130"/>
      <c r="L114" s="109"/>
      <c r="M114" s="109"/>
      <c r="N114" s="109"/>
      <c r="O114" s="109"/>
      <c r="P114" s="130"/>
      <c r="Q114" s="68">
        <v>1985</v>
      </c>
      <c r="R114" s="13">
        <f t="shared" si="14"/>
        <v>2430.7200000000003</v>
      </c>
      <c r="S114" s="7">
        <f t="shared" si="10"/>
        <v>230.72000000000025</v>
      </c>
    </row>
    <row r="115" spans="1:19" ht="15">
      <c r="A115" s="4" t="s">
        <v>184</v>
      </c>
      <c r="B115" s="109">
        <v>5700</v>
      </c>
      <c r="C115" s="64">
        <v>2330.33</v>
      </c>
      <c r="D115" s="109">
        <v>5000</v>
      </c>
      <c r="E115" s="109">
        <v>3800</v>
      </c>
      <c r="F115" s="144">
        <f t="shared" si="11"/>
        <v>-1900</v>
      </c>
      <c r="G115" s="128">
        <f t="shared" si="15"/>
        <v>309.32</v>
      </c>
      <c r="H115" s="129">
        <f t="shared" si="16"/>
        <v>460.56</v>
      </c>
      <c r="I115" s="91"/>
      <c r="J115" s="68"/>
      <c r="K115" s="130"/>
      <c r="L115" s="109"/>
      <c r="M115" s="109"/>
      <c r="N115" s="109"/>
      <c r="O115" s="109"/>
      <c r="P115" s="130"/>
      <c r="Q115" s="68">
        <v>4525</v>
      </c>
      <c r="R115" s="13">
        <f t="shared" si="14"/>
        <v>5294.88</v>
      </c>
      <c r="S115" s="7">
        <f t="shared" si="10"/>
        <v>1494.88</v>
      </c>
    </row>
    <row r="116" spans="1:19" ht="15">
      <c r="A116" s="4" t="s">
        <v>52</v>
      </c>
      <c r="B116" s="109">
        <v>3000</v>
      </c>
      <c r="C116" s="64">
        <v>1504.35</v>
      </c>
      <c r="D116" s="109">
        <v>3000</v>
      </c>
      <c r="E116" s="109">
        <v>3000</v>
      </c>
      <c r="F116" s="144">
        <f t="shared" si="11"/>
        <v>0</v>
      </c>
      <c r="G116" s="128">
        <f t="shared" si="15"/>
        <v>244.2</v>
      </c>
      <c r="H116" s="129">
        <f t="shared" si="16"/>
        <v>363.6</v>
      </c>
      <c r="I116" s="91"/>
      <c r="J116" s="130"/>
      <c r="K116" s="130"/>
      <c r="L116" s="130"/>
      <c r="M116" s="130"/>
      <c r="N116" s="130"/>
      <c r="O116" s="130"/>
      <c r="P116" s="130"/>
      <c r="Q116" s="68">
        <v>2381</v>
      </c>
      <c r="R116" s="13">
        <f t="shared" si="14"/>
        <v>2988.8</v>
      </c>
      <c r="S116" s="7">
        <f t="shared" si="10"/>
        <v>-11.199999999999818</v>
      </c>
    </row>
    <row r="117" spans="1:19" ht="15">
      <c r="A117" s="4" t="s">
        <v>53</v>
      </c>
      <c r="B117" s="109">
        <v>55000</v>
      </c>
      <c r="C117" s="64">
        <v>24322.48</v>
      </c>
      <c r="D117" s="109">
        <v>48600</v>
      </c>
      <c r="E117" s="109">
        <v>42700</v>
      </c>
      <c r="F117" s="144">
        <f t="shared" si="11"/>
        <v>-12300</v>
      </c>
      <c r="G117" s="128">
        <f t="shared" si="15"/>
        <v>3475.78</v>
      </c>
      <c r="H117" s="129">
        <f t="shared" si="16"/>
        <v>5175.24</v>
      </c>
      <c r="I117" s="91"/>
      <c r="J117" s="109"/>
      <c r="K117" s="130"/>
      <c r="L117" s="109"/>
      <c r="M117" s="109"/>
      <c r="N117" s="109"/>
      <c r="O117" s="109"/>
      <c r="P117" s="130"/>
      <c r="Q117" s="68">
        <v>43659</v>
      </c>
      <c r="R117" s="13">
        <f t="shared" si="14"/>
        <v>52310.020000000004</v>
      </c>
      <c r="S117" s="7">
        <f t="shared" si="10"/>
        <v>9610.020000000004</v>
      </c>
    </row>
    <row r="118" spans="1:19" ht="15">
      <c r="A118" s="4" t="s">
        <v>54</v>
      </c>
      <c r="B118" s="109">
        <v>15000</v>
      </c>
      <c r="C118" s="68">
        <v>3900.45</v>
      </c>
      <c r="D118" s="109">
        <v>8000</v>
      </c>
      <c r="E118" s="109">
        <v>6900</v>
      </c>
      <c r="F118" s="144">
        <f t="shared" si="11"/>
        <v>-8100</v>
      </c>
      <c r="G118" s="128">
        <f t="shared" si="15"/>
        <v>561.66</v>
      </c>
      <c r="H118" s="129">
        <f t="shared" si="16"/>
        <v>836.28</v>
      </c>
      <c r="I118" s="91"/>
      <c r="J118" s="109"/>
      <c r="K118" s="130"/>
      <c r="L118" s="109"/>
      <c r="M118" s="109"/>
      <c r="N118" s="109"/>
      <c r="O118" s="109"/>
      <c r="P118" s="130"/>
      <c r="Q118" s="68">
        <v>11907</v>
      </c>
      <c r="R118" s="13">
        <f t="shared" si="14"/>
        <v>13304.94</v>
      </c>
      <c r="S118" s="7">
        <f t="shared" si="10"/>
        <v>6404.9400000000005</v>
      </c>
    </row>
    <row r="119" spans="1:19" ht="15">
      <c r="A119" s="4" t="s">
        <v>185</v>
      </c>
      <c r="B119" s="109">
        <v>2500</v>
      </c>
      <c r="C119" s="68">
        <v>960</v>
      </c>
      <c r="D119" s="109">
        <v>1920</v>
      </c>
      <c r="E119" s="109">
        <v>1740</v>
      </c>
      <c r="F119" s="144">
        <f t="shared" si="11"/>
        <v>-760</v>
      </c>
      <c r="G119" s="128">
        <f t="shared" si="15"/>
        <v>141.636</v>
      </c>
      <c r="H119" s="129">
        <f t="shared" si="16"/>
        <v>210.888</v>
      </c>
      <c r="I119" s="91"/>
      <c r="J119" s="109"/>
      <c r="K119" s="130"/>
      <c r="L119" s="109"/>
      <c r="M119" s="109"/>
      <c r="N119" s="109"/>
      <c r="O119" s="109"/>
      <c r="P119" s="130"/>
      <c r="Q119" s="68"/>
      <c r="R119" s="13"/>
      <c r="S119" s="7"/>
    </row>
    <row r="120" spans="1:19" ht="15">
      <c r="A120" s="46" t="s">
        <v>55</v>
      </c>
      <c r="B120" s="91"/>
      <c r="C120" s="90"/>
      <c r="D120" s="91"/>
      <c r="E120" s="91"/>
      <c r="F120" s="125"/>
      <c r="G120" s="128">
        <f t="shared" si="15"/>
        <v>0</v>
      </c>
      <c r="H120" s="129">
        <f t="shared" si="16"/>
        <v>0</v>
      </c>
      <c r="I120" s="91"/>
      <c r="J120" s="91"/>
      <c r="K120" s="91"/>
      <c r="L120" s="91"/>
      <c r="M120" s="91"/>
      <c r="N120" s="91"/>
      <c r="O120" s="91"/>
      <c r="P120" s="91"/>
      <c r="Q120" s="91"/>
      <c r="R120" s="13">
        <f t="shared" si="14"/>
        <v>0</v>
      </c>
      <c r="S120" s="7">
        <f t="shared" si="10"/>
        <v>0</v>
      </c>
    </row>
    <row r="121" spans="1:19" ht="15">
      <c r="A121" s="4" t="s">
        <v>142</v>
      </c>
      <c r="B121" s="109">
        <v>1000</v>
      </c>
      <c r="C121" s="63">
        <v>488.77</v>
      </c>
      <c r="D121" s="109">
        <v>1000</v>
      </c>
      <c r="E121" s="109">
        <v>1000</v>
      </c>
      <c r="F121" s="144">
        <f t="shared" si="11"/>
        <v>0</v>
      </c>
      <c r="G121" s="128">
        <f t="shared" si="15"/>
        <v>81.4</v>
      </c>
      <c r="H121" s="129">
        <f t="shared" si="16"/>
        <v>121.2</v>
      </c>
      <c r="I121" s="91"/>
      <c r="J121" s="130"/>
      <c r="K121" s="130"/>
      <c r="L121" s="130"/>
      <c r="M121" s="130"/>
      <c r="N121" s="130"/>
      <c r="O121" s="130"/>
      <c r="P121" s="130"/>
      <c r="Q121" s="68">
        <v>794</v>
      </c>
      <c r="R121" s="13">
        <f t="shared" si="14"/>
        <v>996.6</v>
      </c>
      <c r="S121" s="7">
        <f t="shared" si="10"/>
        <v>-3.3999999999999773</v>
      </c>
    </row>
    <row r="122" spans="1:19" ht="15">
      <c r="A122" s="4" t="s">
        <v>143</v>
      </c>
      <c r="B122" s="109">
        <v>1500</v>
      </c>
      <c r="C122" s="63">
        <v>904.85</v>
      </c>
      <c r="D122" s="109">
        <v>2000</v>
      </c>
      <c r="E122" s="109">
        <v>1500</v>
      </c>
      <c r="F122" s="144">
        <f t="shared" si="11"/>
        <v>0</v>
      </c>
      <c r="G122" s="128">
        <v>2000</v>
      </c>
      <c r="H122" s="129"/>
      <c r="I122" s="91"/>
      <c r="J122" s="130"/>
      <c r="K122" s="130"/>
      <c r="L122" s="130"/>
      <c r="M122" s="130"/>
      <c r="N122" s="130"/>
      <c r="O122" s="130"/>
      <c r="P122" s="130"/>
      <c r="Q122" s="68"/>
      <c r="R122" s="13">
        <f t="shared" si="14"/>
        <v>2000</v>
      </c>
      <c r="S122" s="7">
        <f t="shared" si="10"/>
        <v>500</v>
      </c>
    </row>
    <row r="123" spans="1:19" ht="15">
      <c r="A123" s="4" t="s">
        <v>144</v>
      </c>
      <c r="B123" s="109">
        <v>12480</v>
      </c>
      <c r="C123" s="64">
        <v>6052.5</v>
      </c>
      <c r="D123" s="109">
        <v>16800</v>
      </c>
      <c r="E123" s="109">
        <v>11200</v>
      </c>
      <c r="F123" s="144">
        <f t="shared" si="11"/>
        <v>-1280</v>
      </c>
      <c r="G123" s="128">
        <v>16800</v>
      </c>
      <c r="H123" s="129"/>
      <c r="I123" s="91"/>
      <c r="J123" s="130"/>
      <c r="K123" s="130"/>
      <c r="L123" s="130"/>
      <c r="M123" s="130"/>
      <c r="N123" s="130"/>
      <c r="O123" s="130"/>
      <c r="P123" s="130"/>
      <c r="Q123" s="68"/>
      <c r="R123" s="13">
        <f t="shared" si="14"/>
        <v>16800</v>
      </c>
      <c r="S123" s="7">
        <f t="shared" si="10"/>
        <v>5600</v>
      </c>
    </row>
    <row r="124" spans="1:19" ht="15">
      <c r="A124" s="4" t="s">
        <v>145</v>
      </c>
      <c r="B124" s="109">
        <v>3000</v>
      </c>
      <c r="C124" s="64">
        <v>1026.7</v>
      </c>
      <c r="D124" s="109">
        <v>0</v>
      </c>
      <c r="E124" s="109">
        <v>8500</v>
      </c>
      <c r="F124" s="144">
        <f t="shared" si="11"/>
        <v>5500</v>
      </c>
      <c r="G124" s="128">
        <f t="shared" si="15"/>
        <v>691.9</v>
      </c>
      <c r="H124" s="129">
        <f t="shared" si="16"/>
        <v>1030.2</v>
      </c>
      <c r="I124" s="91"/>
      <c r="J124" s="68"/>
      <c r="K124" s="68"/>
      <c r="L124" s="130"/>
      <c r="M124" s="130"/>
      <c r="N124" s="68"/>
      <c r="O124" s="130"/>
      <c r="P124" s="130"/>
      <c r="Q124" s="68">
        <v>2381</v>
      </c>
      <c r="R124" s="13">
        <f t="shared" si="14"/>
        <v>4103.1</v>
      </c>
      <c r="S124" s="7">
        <f t="shared" si="10"/>
        <v>-4396.9</v>
      </c>
    </row>
    <row r="125" spans="1:19" ht="15">
      <c r="A125" s="4" t="s">
        <v>175</v>
      </c>
      <c r="B125" s="109">
        <v>2120</v>
      </c>
      <c r="C125" s="63">
        <v>528.7</v>
      </c>
      <c r="D125" s="109">
        <v>4500</v>
      </c>
      <c r="E125" s="109">
        <v>4500</v>
      </c>
      <c r="F125" s="144">
        <f t="shared" si="11"/>
        <v>2380</v>
      </c>
      <c r="G125" s="128">
        <f t="shared" si="15"/>
        <v>366.3</v>
      </c>
      <c r="H125" s="129">
        <f t="shared" si="16"/>
        <v>545.4</v>
      </c>
      <c r="I125" s="91"/>
      <c r="J125" s="130"/>
      <c r="K125" s="130"/>
      <c r="L125" s="109"/>
      <c r="M125" s="109"/>
      <c r="N125" s="109"/>
      <c r="O125" s="130"/>
      <c r="P125" s="130"/>
      <c r="Q125" s="68">
        <v>1683</v>
      </c>
      <c r="R125" s="13">
        <f>SUM(G125:Q125)</f>
        <v>2594.7</v>
      </c>
      <c r="S125" s="7">
        <f>+R125-E125</f>
        <v>-1905.3000000000002</v>
      </c>
    </row>
    <row r="126" spans="1:19" ht="15">
      <c r="A126" s="4" t="s">
        <v>176</v>
      </c>
      <c r="B126" s="109">
        <v>4200</v>
      </c>
      <c r="C126" s="63">
        <v>649.94</v>
      </c>
      <c r="D126" s="109">
        <v>3800</v>
      </c>
      <c r="E126" s="109">
        <v>3800</v>
      </c>
      <c r="F126" s="144">
        <f t="shared" si="11"/>
        <v>-400</v>
      </c>
      <c r="G126" s="128">
        <f t="shared" si="15"/>
        <v>309.32</v>
      </c>
      <c r="H126" s="129">
        <f t="shared" si="16"/>
        <v>460.56</v>
      </c>
      <c r="I126" s="91"/>
      <c r="J126" s="130"/>
      <c r="K126" s="130"/>
      <c r="L126" s="109"/>
      <c r="M126" s="109"/>
      <c r="N126" s="109"/>
      <c r="O126" s="130"/>
      <c r="P126" s="130"/>
      <c r="Q126" s="68">
        <v>3334</v>
      </c>
      <c r="R126" s="13">
        <f>SUM(G126:Q126)</f>
        <v>4103.88</v>
      </c>
      <c r="S126" s="7">
        <f>+R126-E126</f>
        <v>303.8800000000001</v>
      </c>
    </row>
    <row r="127" spans="1:19" ht="15">
      <c r="A127" s="4" t="s">
        <v>146</v>
      </c>
      <c r="B127" s="109">
        <v>3000</v>
      </c>
      <c r="C127" s="63">
        <v>0</v>
      </c>
      <c r="D127" s="109">
        <v>0</v>
      </c>
      <c r="E127" s="109">
        <v>0</v>
      </c>
      <c r="F127" s="144">
        <f t="shared" si="11"/>
        <v>-3000</v>
      </c>
      <c r="G127" s="128">
        <f t="shared" si="15"/>
        <v>0</v>
      </c>
      <c r="H127" s="129">
        <f t="shared" si="16"/>
        <v>0</v>
      </c>
      <c r="I127" s="91"/>
      <c r="J127" s="130"/>
      <c r="K127" s="130"/>
      <c r="L127" s="109"/>
      <c r="M127" s="109"/>
      <c r="N127" s="109"/>
      <c r="O127" s="130"/>
      <c r="P127" s="130"/>
      <c r="Q127" s="68">
        <v>2381</v>
      </c>
      <c r="R127" s="13">
        <f t="shared" si="14"/>
        <v>2381</v>
      </c>
      <c r="S127" s="7">
        <f t="shared" si="10"/>
        <v>2381</v>
      </c>
    </row>
    <row r="128" spans="1:19" ht="15">
      <c r="A128" s="4" t="s">
        <v>147</v>
      </c>
      <c r="B128" s="109">
        <v>11330</v>
      </c>
      <c r="C128" s="68">
        <v>5311.66</v>
      </c>
      <c r="D128" s="109">
        <v>11250</v>
      </c>
      <c r="E128" s="109">
        <v>5022</v>
      </c>
      <c r="F128" s="144">
        <f t="shared" si="11"/>
        <v>-6308</v>
      </c>
      <c r="G128" s="128">
        <f t="shared" si="15"/>
        <v>408.7908</v>
      </c>
      <c r="H128" s="129">
        <f t="shared" si="16"/>
        <v>608.6664000000001</v>
      </c>
      <c r="I128" s="91"/>
      <c r="J128" s="130"/>
      <c r="K128" s="130"/>
      <c r="L128" s="109"/>
      <c r="M128" s="109"/>
      <c r="N128" s="109"/>
      <c r="O128" s="130"/>
      <c r="P128" s="130"/>
      <c r="Q128" s="68">
        <v>8994</v>
      </c>
      <c r="R128" s="13">
        <f t="shared" si="14"/>
        <v>10011.4572</v>
      </c>
      <c r="S128" s="7">
        <f t="shared" si="10"/>
        <v>4989.457200000001</v>
      </c>
    </row>
    <row r="129" spans="1:19" ht="15">
      <c r="A129" s="4" t="s">
        <v>148</v>
      </c>
      <c r="B129" s="109">
        <v>0</v>
      </c>
      <c r="C129" s="63">
        <v>-306.5</v>
      </c>
      <c r="D129" s="109"/>
      <c r="E129" s="109"/>
      <c r="F129" s="144">
        <f t="shared" si="11"/>
        <v>0</v>
      </c>
      <c r="G129" s="128">
        <f t="shared" si="15"/>
        <v>0</v>
      </c>
      <c r="H129" s="129">
        <f t="shared" si="16"/>
        <v>0</v>
      </c>
      <c r="I129" s="91"/>
      <c r="J129" s="130"/>
      <c r="K129" s="130"/>
      <c r="L129" s="130"/>
      <c r="M129" s="130"/>
      <c r="N129" s="130"/>
      <c r="O129" s="130"/>
      <c r="P129" s="130"/>
      <c r="Q129" s="68"/>
      <c r="R129" s="13">
        <f t="shared" si="14"/>
        <v>0</v>
      </c>
      <c r="S129" s="7">
        <f t="shared" si="10"/>
        <v>0</v>
      </c>
    </row>
    <row r="130" spans="1:19" ht="15">
      <c r="A130" s="46" t="s">
        <v>56</v>
      </c>
      <c r="B130" s="91"/>
      <c r="C130" s="90"/>
      <c r="D130" s="91"/>
      <c r="E130" s="91"/>
      <c r="F130" s="125">
        <f t="shared" si="11"/>
        <v>0</v>
      </c>
      <c r="G130" s="128">
        <f t="shared" si="15"/>
        <v>0</v>
      </c>
      <c r="H130" s="129">
        <f t="shared" si="16"/>
        <v>0</v>
      </c>
      <c r="I130" s="91"/>
      <c r="J130" s="91"/>
      <c r="K130" s="91"/>
      <c r="L130" s="91"/>
      <c r="M130" s="91"/>
      <c r="N130" s="91"/>
      <c r="O130" s="91"/>
      <c r="P130" s="91"/>
      <c r="Q130" s="91"/>
      <c r="R130" s="13">
        <f t="shared" si="14"/>
        <v>0</v>
      </c>
      <c r="S130" s="7">
        <f t="shared" si="10"/>
        <v>0</v>
      </c>
    </row>
    <row r="131" spans="1:19" ht="15">
      <c r="A131" s="4" t="s">
        <v>149</v>
      </c>
      <c r="B131" s="109">
        <v>3000</v>
      </c>
      <c r="C131" s="63">
        <v>280</v>
      </c>
      <c r="D131" s="109">
        <v>500</v>
      </c>
      <c r="E131" s="109">
        <v>500</v>
      </c>
      <c r="F131" s="144">
        <f>+E131-B131</f>
        <v>-2500</v>
      </c>
      <c r="G131" s="128">
        <f t="shared" si="15"/>
        <v>40.7</v>
      </c>
      <c r="H131" s="129">
        <f t="shared" si="16"/>
        <v>60.6</v>
      </c>
      <c r="I131" s="91"/>
      <c r="J131" s="130"/>
      <c r="K131" s="130"/>
      <c r="L131" s="109"/>
      <c r="M131" s="109"/>
      <c r="N131" s="109"/>
      <c r="O131" s="109"/>
      <c r="P131" s="130"/>
      <c r="Q131" s="68">
        <v>2381</v>
      </c>
      <c r="R131" s="13">
        <f t="shared" si="14"/>
        <v>2482.3</v>
      </c>
      <c r="S131" s="7">
        <f t="shared" si="10"/>
        <v>1982.3000000000002</v>
      </c>
    </row>
    <row r="132" spans="1:19" ht="15.75" thickBot="1">
      <c r="A132" s="52" t="s">
        <v>57</v>
      </c>
      <c r="B132" s="112"/>
      <c r="C132" s="65">
        <v>441.6</v>
      </c>
      <c r="D132" s="112"/>
      <c r="E132" s="112"/>
      <c r="F132" s="162">
        <f>+E132-B132</f>
        <v>0</v>
      </c>
      <c r="G132" s="141">
        <f>+E132*0.0861</f>
        <v>0</v>
      </c>
      <c r="H132" s="186">
        <f>+E132*0.1201</f>
        <v>0</v>
      </c>
      <c r="I132" s="111"/>
      <c r="J132" s="148"/>
      <c r="K132" s="148"/>
      <c r="L132" s="148"/>
      <c r="M132" s="148"/>
      <c r="N132" s="148"/>
      <c r="O132" s="148"/>
      <c r="P132" s="148"/>
      <c r="Q132" s="163"/>
      <c r="R132" s="13">
        <f t="shared" si="14"/>
        <v>0</v>
      </c>
      <c r="S132" s="7"/>
    </row>
    <row r="133" spans="1:19" ht="15.75" thickBot="1">
      <c r="A133" s="48" t="s">
        <v>6</v>
      </c>
      <c r="B133" s="57">
        <f>SUM(B67:B132)</f>
        <v>749365</v>
      </c>
      <c r="C133" s="164">
        <f aca="true" t="shared" si="17" ref="C133:Q133">SUM(C67:C132)</f>
        <v>333167.85599999997</v>
      </c>
      <c r="D133" s="57">
        <f t="shared" si="17"/>
        <v>823523.4481068001</v>
      </c>
      <c r="E133" s="57">
        <f t="shared" si="17"/>
        <v>746698.32</v>
      </c>
      <c r="F133" s="166">
        <f t="shared" si="17"/>
        <v>-2666.6800000000003</v>
      </c>
      <c r="G133" s="86">
        <f t="shared" si="17"/>
        <v>191528.54710000005</v>
      </c>
      <c r="H133" s="79">
        <f t="shared" si="17"/>
        <v>180839.93412000002</v>
      </c>
      <c r="I133" s="40">
        <f t="shared" si="17"/>
        <v>0</v>
      </c>
      <c r="J133" s="57">
        <f t="shared" si="17"/>
        <v>0</v>
      </c>
      <c r="K133" s="57">
        <f t="shared" si="17"/>
        <v>0</v>
      </c>
      <c r="L133" s="57">
        <f t="shared" si="17"/>
        <v>0</v>
      </c>
      <c r="M133" s="57">
        <f t="shared" si="17"/>
        <v>0</v>
      </c>
      <c r="N133" s="57">
        <f t="shared" si="17"/>
        <v>0</v>
      </c>
      <c r="O133" s="57">
        <f t="shared" si="17"/>
        <v>0</v>
      </c>
      <c r="P133" s="57">
        <f t="shared" si="17"/>
        <v>0</v>
      </c>
      <c r="Q133" s="57">
        <f t="shared" si="17"/>
        <v>412430</v>
      </c>
      <c r="R133" s="15">
        <f>SUM(G133:Q133)-1</f>
        <v>784797.4812200001</v>
      </c>
      <c r="S133" s="7">
        <f>+R133-E133</f>
        <v>38099.161220000125</v>
      </c>
    </row>
    <row r="134" spans="1:18" ht="18">
      <c r="A134" s="69"/>
      <c r="B134" s="104" t="s">
        <v>61</v>
      </c>
      <c r="C134" s="104" t="s">
        <v>105</v>
      </c>
      <c r="D134" s="104" t="s">
        <v>61</v>
      </c>
      <c r="E134" s="104" t="s">
        <v>61</v>
      </c>
      <c r="F134" s="118" t="s">
        <v>113</v>
      </c>
      <c r="G134" s="87" t="s">
        <v>63</v>
      </c>
      <c r="H134" s="80" t="s">
        <v>64</v>
      </c>
      <c r="I134" s="58" t="s">
        <v>66</v>
      </c>
      <c r="J134" s="59" t="s">
        <v>65</v>
      </c>
      <c r="K134" s="59" t="s">
        <v>67</v>
      </c>
      <c r="L134" s="59" t="s">
        <v>68</v>
      </c>
      <c r="M134" s="59" t="s">
        <v>69</v>
      </c>
      <c r="N134" s="59" t="s">
        <v>70</v>
      </c>
      <c r="O134" s="59" t="s">
        <v>71</v>
      </c>
      <c r="P134" s="59" t="s">
        <v>72</v>
      </c>
      <c r="Q134" s="59" t="s">
        <v>114</v>
      </c>
      <c r="R134" s="7"/>
    </row>
    <row r="135" spans="1:18" ht="18.75" thickBot="1">
      <c r="A135" s="72"/>
      <c r="B135" s="106" t="str">
        <f>+B4</f>
        <v>2019-2020</v>
      </c>
      <c r="C135" s="105" t="str">
        <f>+C4</f>
        <v>Jul-Dec</v>
      </c>
      <c r="D135" s="106" t="str">
        <f>+D4</f>
        <v>2020-2021</v>
      </c>
      <c r="E135" s="106" t="str">
        <f>+E4</f>
        <v>2020-2021</v>
      </c>
      <c r="F135" s="119" t="s">
        <v>112</v>
      </c>
      <c r="G135" s="84" t="s">
        <v>73</v>
      </c>
      <c r="H135" s="77" t="s">
        <v>74</v>
      </c>
      <c r="I135" s="39" t="s">
        <v>74</v>
      </c>
      <c r="J135" s="8" t="s">
        <v>74</v>
      </c>
      <c r="K135" s="8" t="s">
        <v>74</v>
      </c>
      <c r="L135" s="8" t="s">
        <v>75</v>
      </c>
      <c r="M135" s="8" t="s">
        <v>75</v>
      </c>
      <c r="N135" s="8" t="s">
        <v>75</v>
      </c>
      <c r="O135" s="8" t="s">
        <v>76</v>
      </c>
      <c r="P135" s="8" t="s">
        <v>74</v>
      </c>
      <c r="Q135" s="8" t="s">
        <v>75</v>
      </c>
      <c r="R135" s="9" t="s">
        <v>116</v>
      </c>
    </row>
    <row r="136" spans="1:19" ht="15">
      <c r="A136" s="73" t="s">
        <v>58</v>
      </c>
      <c r="B136" s="18">
        <f>B61</f>
        <v>749365</v>
      </c>
      <c r="C136" s="18">
        <f>C61</f>
        <v>385784.11000000004</v>
      </c>
      <c r="D136" s="18">
        <f>D61</f>
        <v>823523</v>
      </c>
      <c r="E136" s="18">
        <f>E61</f>
        <v>746698</v>
      </c>
      <c r="F136" s="157">
        <f>+E136-B136</f>
        <v>-2667</v>
      </c>
      <c r="G136" s="86">
        <f aca="true" t="shared" si="18" ref="G136:R136">G61</f>
        <v>190480</v>
      </c>
      <c r="H136" s="79">
        <f t="shared" si="18"/>
        <v>180081</v>
      </c>
      <c r="I136" s="40">
        <f t="shared" si="18"/>
        <v>0</v>
      </c>
      <c r="J136" s="18">
        <f t="shared" si="18"/>
        <v>0</v>
      </c>
      <c r="K136" s="18">
        <f t="shared" si="18"/>
        <v>0</v>
      </c>
      <c r="L136" s="18">
        <f t="shared" si="18"/>
        <v>0</v>
      </c>
      <c r="M136" s="18">
        <f t="shared" si="18"/>
        <v>0</v>
      </c>
      <c r="N136" s="18">
        <f t="shared" si="18"/>
        <v>0</v>
      </c>
      <c r="O136" s="18">
        <f t="shared" si="18"/>
        <v>0</v>
      </c>
      <c r="P136" s="18">
        <f t="shared" si="18"/>
        <v>0</v>
      </c>
      <c r="Q136" s="18">
        <f t="shared" si="18"/>
        <v>414050</v>
      </c>
      <c r="R136" s="18">
        <f t="shared" si="18"/>
        <v>784611</v>
      </c>
      <c r="S136" s="7">
        <f>+R136-E136</f>
        <v>37913</v>
      </c>
    </row>
    <row r="137" spans="1:19" ht="15.75" thickBot="1">
      <c r="A137" s="73" t="s">
        <v>59</v>
      </c>
      <c r="B137" s="19">
        <f>B133</f>
        <v>749365</v>
      </c>
      <c r="C137" s="19">
        <f>C133</f>
        <v>333167.85599999997</v>
      </c>
      <c r="D137" s="19">
        <f>D133</f>
        <v>823523.4481068001</v>
      </c>
      <c r="E137" s="19">
        <f>E133</f>
        <v>746698.32</v>
      </c>
      <c r="F137" s="170">
        <f>+E137-B137</f>
        <v>-2666.680000000051</v>
      </c>
      <c r="G137" s="88">
        <f aca="true" t="shared" si="19" ref="G137:R137">G133</f>
        <v>191528.54710000005</v>
      </c>
      <c r="H137" s="81">
        <f t="shared" si="19"/>
        <v>180839.93412000002</v>
      </c>
      <c r="I137" s="41">
        <f t="shared" si="19"/>
        <v>0</v>
      </c>
      <c r="J137" s="19">
        <f>J133</f>
        <v>0</v>
      </c>
      <c r="K137" s="19">
        <f t="shared" si="19"/>
        <v>0</v>
      </c>
      <c r="L137" s="19">
        <f t="shared" si="19"/>
        <v>0</v>
      </c>
      <c r="M137" s="19">
        <f t="shared" si="19"/>
        <v>0</v>
      </c>
      <c r="N137" s="19">
        <f t="shared" si="19"/>
        <v>0</v>
      </c>
      <c r="O137" s="19">
        <f t="shared" si="19"/>
        <v>0</v>
      </c>
      <c r="P137" s="19">
        <f t="shared" si="19"/>
        <v>0</v>
      </c>
      <c r="Q137" s="19">
        <f>Q133</f>
        <v>412430</v>
      </c>
      <c r="R137" s="19">
        <f t="shared" si="19"/>
        <v>784797.4812200001</v>
      </c>
      <c r="S137" s="7">
        <f>+R137-E137</f>
        <v>38099.161220000125</v>
      </c>
    </row>
    <row r="138" spans="1:19" ht="15.75" thickBot="1">
      <c r="A138" s="74" t="s">
        <v>60</v>
      </c>
      <c r="B138" s="114">
        <f aca="true" t="shared" si="20" ref="B138:P138">+B136-B137</f>
        <v>0</v>
      </c>
      <c r="C138" s="114">
        <f t="shared" si="20"/>
        <v>52616.25400000007</v>
      </c>
      <c r="D138" s="114">
        <f t="shared" si="20"/>
        <v>-0.44810680008959025</v>
      </c>
      <c r="E138" s="114">
        <f t="shared" si="20"/>
        <v>-0.31999999994877726</v>
      </c>
      <c r="F138" s="172">
        <f t="shared" si="20"/>
        <v>-0.31999999994877726</v>
      </c>
      <c r="G138" s="89">
        <f t="shared" si="20"/>
        <v>-1048.5471000000543</v>
      </c>
      <c r="H138" s="82">
        <f t="shared" si="20"/>
        <v>-758.9341200000199</v>
      </c>
      <c r="I138" s="42">
        <f t="shared" si="20"/>
        <v>0</v>
      </c>
      <c r="J138" s="20">
        <f t="shared" si="20"/>
        <v>0</v>
      </c>
      <c r="K138" s="20">
        <f t="shared" si="20"/>
        <v>0</v>
      </c>
      <c r="L138" s="20">
        <f t="shared" si="20"/>
        <v>0</v>
      </c>
      <c r="M138" s="20">
        <f t="shared" si="20"/>
        <v>0</v>
      </c>
      <c r="N138" s="20">
        <f t="shared" si="20"/>
        <v>0</v>
      </c>
      <c r="O138" s="20">
        <f t="shared" si="20"/>
        <v>0</v>
      </c>
      <c r="P138" s="20">
        <f t="shared" si="20"/>
        <v>0</v>
      </c>
      <c r="Q138" s="20">
        <f>+Q136-Q137</f>
        <v>1620</v>
      </c>
      <c r="R138" s="20">
        <f>+R136-R137</f>
        <v>-186.48122000007425</v>
      </c>
      <c r="S138" s="7">
        <f>+R138-E138</f>
        <v>-186.16122000012547</v>
      </c>
    </row>
    <row r="139" ht="14.25">
      <c r="B139" s="173"/>
    </row>
    <row r="140" spans="7:8" ht="14.25">
      <c r="G140">
        <v>90332</v>
      </c>
      <c r="H140">
        <v>73022</v>
      </c>
    </row>
    <row r="142" spans="7:8" ht="14.25">
      <c r="G142">
        <v>160398</v>
      </c>
      <c r="H142">
        <v>165943</v>
      </c>
    </row>
    <row r="143" ht="14.25">
      <c r="B143" s="174"/>
    </row>
    <row r="144" ht="14.25">
      <c r="B144" s="174"/>
    </row>
    <row r="145" ht="14.25">
      <c r="B145" s="174"/>
    </row>
    <row r="146" spans="1:19" s="7" customFormat="1" ht="14.25">
      <c r="A146"/>
      <c r="B146" s="174"/>
      <c r="D146" s="103"/>
      <c r="E146" s="103"/>
      <c r="F146" s="103"/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72" spans="1:19" s="7" customFormat="1" ht="14.25">
      <c r="A172"/>
      <c r="B172" s="174"/>
      <c r="D172" s="103"/>
      <c r="E172" s="103"/>
      <c r="F172" s="103"/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1:19" s="7" customFormat="1" ht="14.25">
      <c r="A173"/>
      <c r="B173" s="174"/>
      <c r="D173" s="103"/>
      <c r="E173" s="103"/>
      <c r="F173" s="103"/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1:19" s="7" customFormat="1" ht="14.25">
      <c r="A174"/>
      <c r="B174" s="174"/>
      <c r="D174" s="103"/>
      <c r="E174" s="103"/>
      <c r="F174" s="103"/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1:19" s="7" customFormat="1" ht="14.25">
      <c r="A175"/>
      <c r="B175" s="174"/>
      <c r="D175" s="103"/>
      <c r="E175" s="103"/>
      <c r="F175" s="103"/>
      <c r="G175"/>
      <c r="H175"/>
      <c r="I175"/>
      <c r="J175"/>
      <c r="K175"/>
      <c r="L175"/>
      <c r="M175"/>
      <c r="N175"/>
      <c r="O175"/>
      <c r="P175"/>
      <c r="Q175"/>
      <c r="R175"/>
      <c r="S175"/>
    </row>
    <row r="176" spans="1:19" s="7" customFormat="1" ht="14.25">
      <c r="A176"/>
      <c r="B176" s="174"/>
      <c r="D176" s="103"/>
      <c r="E176" s="103"/>
      <c r="F176" s="103"/>
      <c r="G176"/>
      <c r="H176"/>
      <c r="I176"/>
      <c r="J176"/>
      <c r="K176"/>
      <c r="L176"/>
      <c r="M176"/>
      <c r="N176"/>
      <c r="O176"/>
      <c r="P176"/>
      <c r="Q176"/>
      <c r="R176"/>
      <c r="S176"/>
    </row>
    <row r="177" spans="1:19" s="7" customFormat="1" ht="14.25">
      <c r="A177"/>
      <c r="B177" s="174"/>
      <c r="D177" s="103"/>
      <c r="E177" s="103"/>
      <c r="F177" s="103"/>
      <c r="G177"/>
      <c r="H177"/>
      <c r="I177"/>
      <c r="J177"/>
      <c r="K177"/>
      <c r="L177"/>
      <c r="M177"/>
      <c r="N177"/>
      <c r="O177"/>
      <c r="P177"/>
      <c r="Q177"/>
      <c r="R177"/>
      <c r="S177"/>
    </row>
  </sheetData>
  <sheetProtection/>
  <mergeCells count="1">
    <mergeCell ref="A2:E2"/>
  </mergeCells>
  <printOptions/>
  <pageMargins left="0.75" right="0.75" top="1" bottom="1" header="0.5" footer="0.5"/>
  <pageSetup fitToHeight="0" horizontalDpi="600" verticalDpi="600" orientation="portrait" scale="69" r:id="rId1"/>
  <headerFooter alignWithMargins="0">
    <oddFooter>&amp;L&amp;Z&amp;F&amp;R&amp;"Arial,Bold"Page&amp;P</oddFooter>
  </headerFooter>
  <rowBreaks count="2" manualBreakCount="2">
    <brk id="62" max="7" man="1"/>
    <brk id="119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PageLayoutView="0" workbookViewId="0" topLeftCell="A1">
      <pane xSplit="1" ySplit="5" topLeftCell="B12" activePane="bottomRight" state="frozen"/>
      <selection pane="topLeft" activeCell="K112" sqref="K112"/>
      <selection pane="topRight" activeCell="K112" sqref="K112"/>
      <selection pane="bottomLeft" activeCell="K112" sqref="K112"/>
      <selection pane="bottomRight" activeCell="C40" sqref="C40"/>
    </sheetView>
  </sheetViews>
  <sheetFormatPr defaultColWidth="9.140625" defaultRowHeight="12.75"/>
  <cols>
    <col min="1" max="1" width="26.00390625" style="0" bestFit="1" customWidth="1"/>
    <col min="2" max="2" width="11.421875" style="21" bestFit="1" customWidth="1"/>
    <col min="3" max="3" width="11.28125" style="21" customWidth="1"/>
    <col min="4" max="4" width="7.421875" style="0" bestFit="1" customWidth="1"/>
    <col min="5" max="5" width="16.57421875" style="21" bestFit="1" customWidth="1"/>
    <col min="6" max="6" width="15.140625" style="31" customWidth="1"/>
    <col min="7" max="7" width="10.7109375" style="0" customWidth="1"/>
    <col min="8" max="8" width="11.28125" style="0" customWidth="1"/>
    <col min="9" max="9" width="13.7109375" style="21" customWidth="1"/>
    <col min="10" max="10" width="13.7109375" style="0" customWidth="1"/>
    <col min="11" max="11" width="10.57421875" style="0" customWidth="1"/>
    <col min="12" max="12" width="15.140625" style="0" customWidth="1"/>
    <col min="13" max="13" width="16.57421875" style="0" bestFit="1" customWidth="1"/>
  </cols>
  <sheetData>
    <row r="1" ht="12.75">
      <c r="A1" s="22" t="e">
        <f>+#REF!</f>
        <v>#REF!</v>
      </c>
    </row>
    <row r="2" ht="18">
      <c r="A2" s="61" t="s">
        <v>186</v>
      </c>
    </row>
    <row r="3" spans="1:3" ht="18">
      <c r="A3" s="61" t="s">
        <v>165</v>
      </c>
      <c r="C3" s="37"/>
    </row>
    <row r="4" spans="1:11" ht="12.75">
      <c r="A4" t="s">
        <v>78</v>
      </c>
      <c r="B4" s="60" t="s">
        <v>179</v>
      </c>
      <c r="C4" s="60" t="s">
        <v>188</v>
      </c>
      <c r="D4" t="s">
        <v>92</v>
      </c>
      <c r="E4" s="23" t="s">
        <v>80</v>
      </c>
      <c r="F4" s="32" t="s">
        <v>93</v>
      </c>
      <c r="G4" s="24" t="s">
        <v>94</v>
      </c>
      <c r="H4" s="24" t="s">
        <v>95</v>
      </c>
      <c r="I4" s="92" t="s">
        <v>96</v>
      </c>
      <c r="J4" s="24" t="s">
        <v>97</v>
      </c>
      <c r="K4" s="24" t="s">
        <v>98</v>
      </c>
    </row>
    <row r="5" spans="1:11" ht="12.75">
      <c r="A5" s="22" t="s">
        <v>81</v>
      </c>
      <c r="B5" s="21" t="s">
        <v>79</v>
      </c>
      <c r="C5" s="21" t="s">
        <v>79</v>
      </c>
      <c r="F5" s="33"/>
      <c r="G5" s="24"/>
      <c r="H5" s="24"/>
      <c r="I5" s="92"/>
      <c r="J5" s="24"/>
      <c r="K5" s="24"/>
    </row>
    <row r="6" spans="1:12" ht="12.75">
      <c r="A6" t="s">
        <v>82</v>
      </c>
      <c r="B6" s="21">
        <v>25.88</v>
      </c>
      <c r="C6" s="21">
        <f aca="true" t="shared" si="0" ref="C6:C15">+B6*1.03</f>
        <v>26.6564</v>
      </c>
      <c r="D6">
        <v>40</v>
      </c>
      <c r="E6" s="21">
        <f aca="true" t="shared" si="1" ref="E6:E14">+D6*C6*52</f>
        <v>55445.312000000005</v>
      </c>
      <c r="F6" s="30">
        <f aca="true" t="shared" si="2" ref="F6:F15">+E6*0.0765</f>
        <v>4241.566368000001</v>
      </c>
      <c r="G6" s="25">
        <f aca="true" t="shared" si="3" ref="G6:G11">9000*0.015</f>
        <v>135</v>
      </c>
      <c r="H6" s="25">
        <f>E6*0.013</f>
        <v>720.7890560000001</v>
      </c>
      <c r="I6" s="25">
        <v>391.88</v>
      </c>
      <c r="J6" s="25">
        <f>E6*3%</f>
        <v>1663.3593600000002</v>
      </c>
      <c r="K6" s="25">
        <f>E6*3%</f>
        <v>1663.3593600000002</v>
      </c>
      <c r="L6" s="21">
        <f aca="true" t="shared" si="4" ref="L6:L11">SUM(F6:K6)</f>
        <v>8815.954144000001</v>
      </c>
    </row>
    <row r="7" spans="1:12" ht="12.75">
      <c r="A7" t="s">
        <v>83</v>
      </c>
      <c r="B7" s="21">
        <v>22.35</v>
      </c>
      <c r="C7" s="21">
        <f t="shared" si="0"/>
        <v>23.020500000000002</v>
      </c>
      <c r="D7">
        <v>40</v>
      </c>
      <c r="E7" s="21">
        <f t="shared" si="1"/>
        <v>47882.64</v>
      </c>
      <c r="F7" s="30">
        <f t="shared" si="2"/>
        <v>3663.02196</v>
      </c>
      <c r="G7" s="25">
        <f t="shared" si="3"/>
        <v>135</v>
      </c>
      <c r="H7" s="25">
        <f aca="true" t="shared" si="5" ref="H7:H15">E7*0.013</f>
        <v>622.4743199999999</v>
      </c>
      <c r="I7" s="25">
        <v>391.88</v>
      </c>
      <c r="J7" s="25">
        <f>E7*3%</f>
        <v>1436.4792</v>
      </c>
      <c r="K7" s="25">
        <f>E7*3%</f>
        <v>1436.4792</v>
      </c>
      <c r="L7" s="21">
        <f t="shared" si="4"/>
        <v>7685.33468</v>
      </c>
    </row>
    <row r="8" spans="1:12" ht="12.75">
      <c r="A8" t="s">
        <v>159</v>
      </c>
      <c r="B8" s="21">
        <v>12.73</v>
      </c>
      <c r="C8" s="21">
        <f t="shared" si="0"/>
        <v>13.1119</v>
      </c>
      <c r="D8">
        <v>40</v>
      </c>
      <c r="E8" s="21">
        <f>+D8*C8*52</f>
        <v>27272.752</v>
      </c>
      <c r="F8" s="30">
        <f>+E8*0.0765</f>
        <v>2086.365528</v>
      </c>
      <c r="G8" s="25">
        <f t="shared" si="3"/>
        <v>135</v>
      </c>
      <c r="H8" s="25">
        <f>E8*0.013</f>
        <v>354.545776</v>
      </c>
      <c r="I8" s="25">
        <v>391.88</v>
      </c>
      <c r="J8" s="25">
        <f>E8*3%</f>
        <v>818.18256</v>
      </c>
      <c r="K8" s="25">
        <f>E8*3%</f>
        <v>818.18256</v>
      </c>
      <c r="L8" s="21">
        <f t="shared" si="4"/>
        <v>4604.156424</v>
      </c>
    </row>
    <row r="9" spans="1:12" ht="12.75">
      <c r="A9" t="s">
        <v>173</v>
      </c>
      <c r="B9" s="21">
        <v>12.36</v>
      </c>
      <c r="C9" s="21">
        <f t="shared" si="0"/>
        <v>12.7308</v>
      </c>
      <c r="D9">
        <v>35</v>
      </c>
      <c r="E9" s="21">
        <f>+D9*C9*52</f>
        <v>23170.056</v>
      </c>
      <c r="F9" s="30">
        <f>+E9*0.0765</f>
        <v>1772.509284</v>
      </c>
      <c r="G9" s="25">
        <f t="shared" si="3"/>
        <v>135</v>
      </c>
      <c r="H9" s="25">
        <f>E9*0.013</f>
        <v>301.210728</v>
      </c>
      <c r="I9" s="25">
        <v>391.88</v>
      </c>
      <c r="J9" s="25">
        <f>E9*3%</f>
        <v>695.10168</v>
      </c>
      <c r="K9" s="25">
        <f>E9*3%</f>
        <v>695.10168</v>
      </c>
      <c r="L9" s="21">
        <f t="shared" si="4"/>
        <v>3990.8033719999994</v>
      </c>
    </row>
    <row r="10" spans="1:12" ht="12.75">
      <c r="A10" t="s">
        <v>181</v>
      </c>
      <c r="B10" s="21">
        <v>9</v>
      </c>
      <c r="C10" s="21">
        <v>9.5</v>
      </c>
      <c r="D10">
        <v>40</v>
      </c>
      <c r="E10" s="21">
        <f>+D10*C10*52</f>
        <v>19760</v>
      </c>
      <c r="F10" s="30">
        <f>+E10*0.0765</f>
        <v>1511.6399999999999</v>
      </c>
      <c r="G10" s="25">
        <f t="shared" si="3"/>
        <v>135</v>
      </c>
      <c r="H10" s="25">
        <f>E10*0.013</f>
        <v>256.88</v>
      </c>
      <c r="I10" s="25">
        <v>391.88</v>
      </c>
      <c r="J10" s="25">
        <f>E10*3%</f>
        <v>592.8</v>
      </c>
      <c r="K10" s="25">
        <f>E10*3%</f>
        <v>592.8</v>
      </c>
      <c r="L10" s="21">
        <f t="shared" si="4"/>
        <v>3481</v>
      </c>
    </row>
    <row r="11" spans="1:12" ht="12.75">
      <c r="A11" t="s">
        <v>154</v>
      </c>
      <c r="B11" s="21">
        <v>11.65</v>
      </c>
      <c r="C11" s="21">
        <f t="shared" si="0"/>
        <v>11.999500000000001</v>
      </c>
      <c r="D11">
        <v>29</v>
      </c>
      <c r="E11" s="21">
        <f>+D11*C11*52</f>
        <v>18095.246000000003</v>
      </c>
      <c r="F11" s="30">
        <f t="shared" si="2"/>
        <v>1384.2863190000003</v>
      </c>
      <c r="G11" s="25">
        <f t="shared" si="3"/>
        <v>135</v>
      </c>
      <c r="H11" s="25">
        <f t="shared" si="5"/>
        <v>235.23819800000004</v>
      </c>
      <c r="I11" s="27"/>
      <c r="J11" s="27"/>
      <c r="K11" s="27"/>
      <c r="L11" s="21">
        <f t="shared" si="4"/>
        <v>1754.5245170000003</v>
      </c>
    </row>
    <row r="12" spans="1:12" ht="12.75">
      <c r="A12" t="s">
        <v>198</v>
      </c>
      <c r="B12" s="21">
        <v>9</v>
      </c>
      <c r="C12" s="21">
        <f t="shared" si="0"/>
        <v>9.27</v>
      </c>
      <c r="F12" s="30"/>
      <c r="G12" s="25"/>
      <c r="H12" s="25"/>
      <c r="I12" s="27"/>
      <c r="J12" s="27"/>
      <c r="K12" s="27"/>
      <c r="L12" s="21"/>
    </row>
    <row r="13" spans="1:12" ht="12.75">
      <c r="A13" t="s">
        <v>189</v>
      </c>
      <c r="B13" s="21">
        <v>9</v>
      </c>
      <c r="C13" s="21">
        <v>9</v>
      </c>
      <c r="D13">
        <v>29</v>
      </c>
      <c r="E13" s="21">
        <f t="shared" si="1"/>
        <v>13572</v>
      </c>
      <c r="F13" s="30">
        <f t="shared" si="2"/>
        <v>1038.258</v>
      </c>
      <c r="G13" s="25">
        <f>+E13*0.013</f>
        <v>176.43599999999998</v>
      </c>
      <c r="H13" s="25">
        <f t="shared" si="5"/>
        <v>176.43599999999998</v>
      </c>
      <c r="I13" s="27"/>
      <c r="J13" s="27"/>
      <c r="K13" s="27"/>
      <c r="L13" s="21">
        <f aca="true" t="shared" si="6" ref="L13:L19">SUM(F13:K13)</f>
        <v>1391.1299999999999</v>
      </c>
    </row>
    <row r="14" spans="1:12" ht="12.75">
      <c r="A14" t="s">
        <v>177</v>
      </c>
      <c r="B14" s="21">
        <v>8.57</v>
      </c>
      <c r="C14" s="21">
        <f t="shared" si="0"/>
        <v>8.8271</v>
      </c>
      <c r="D14">
        <v>29</v>
      </c>
      <c r="E14" s="21">
        <f t="shared" si="1"/>
        <v>13311.2668</v>
      </c>
      <c r="F14" s="30">
        <f t="shared" si="2"/>
        <v>1018.3119101999999</v>
      </c>
      <c r="G14" s="25">
        <f>9000*0.015</f>
        <v>135</v>
      </c>
      <c r="H14" s="25">
        <f t="shared" si="5"/>
        <v>173.04646839999998</v>
      </c>
      <c r="I14" s="27"/>
      <c r="J14" s="27"/>
      <c r="K14" s="27"/>
      <c r="L14" s="21">
        <f t="shared" si="6"/>
        <v>1326.3583786</v>
      </c>
    </row>
    <row r="15" spans="1:12" ht="12.75">
      <c r="A15" s="103" t="s">
        <v>190</v>
      </c>
      <c r="B15" s="21">
        <v>7.96</v>
      </c>
      <c r="C15" s="21">
        <f t="shared" si="0"/>
        <v>8.1988</v>
      </c>
      <c r="D15">
        <v>15</v>
      </c>
      <c r="E15" s="21">
        <f>+D15*C15*52</f>
        <v>6395.064</v>
      </c>
      <c r="F15" s="176">
        <f t="shared" si="2"/>
        <v>489.222396</v>
      </c>
      <c r="G15" s="177">
        <f>9000*0.015</f>
        <v>135</v>
      </c>
      <c r="H15" s="177">
        <f t="shared" si="5"/>
        <v>83.135832</v>
      </c>
      <c r="I15" s="102"/>
      <c r="J15" s="102"/>
      <c r="K15" s="102"/>
      <c r="L15" s="21">
        <f>SUM(F15:K15)</f>
        <v>707.358228</v>
      </c>
    </row>
    <row r="16" spans="1:12" ht="12.75">
      <c r="A16" s="103" t="s">
        <v>182</v>
      </c>
      <c r="B16" s="21">
        <v>8.34</v>
      </c>
      <c r="C16" s="21">
        <v>8</v>
      </c>
      <c r="D16">
        <v>20</v>
      </c>
      <c r="E16" s="21">
        <f>+D16*C16*52</f>
        <v>8320</v>
      </c>
      <c r="F16" s="178">
        <f>+E16*0.0765</f>
        <v>636.48</v>
      </c>
      <c r="G16" s="179">
        <f>9000*0.015</f>
        <v>135</v>
      </c>
      <c r="H16" s="179">
        <f>E16*0.013</f>
        <v>108.16</v>
      </c>
      <c r="I16" s="180"/>
      <c r="J16" s="180"/>
      <c r="K16" s="180"/>
      <c r="L16" s="21"/>
    </row>
    <row r="17" spans="1:12" ht="12.75">
      <c r="A17" t="s">
        <v>84</v>
      </c>
      <c r="D17">
        <f aca="true" t="shared" si="7" ref="D17:K17">SUM(D6:D16)</f>
        <v>317</v>
      </c>
      <c r="E17" s="34">
        <f t="shared" si="7"/>
        <v>233224.33680000005</v>
      </c>
      <c r="F17" s="101">
        <f t="shared" si="7"/>
        <v>17841.6617652</v>
      </c>
      <c r="G17" s="101">
        <f t="shared" si="7"/>
        <v>1391.436</v>
      </c>
      <c r="H17" s="101">
        <f t="shared" si="7"/>
        <v>3031.9163783999998</v>
      </c>
      <c r="I17" s="101">
        <f t="shared" si="7"/>
        <v>1959.4</v>
      </c>
      <c r="J17" s="101">
        <f t="shared" si="7"/>
        <v>5205.9228</v>
      </c>
      <c r="K17" s="101">
        <f t="shared" si="7"/>
        <v>5205.9228</v>
      </c>
      <c r="L17" s="21">
        <f>SUM(L6:L15)</f>
        <v>33756.6197436</v>
      </c>
    </row>
    <row r="18" spans="6:12" ht="12.75">
      <c r="F18" s="100"/>
      <c r="G18" s="175"/>
      <c r="H18" s="175"/>
      <c r="I18" s="175"/>
      <c r="J18" s="181"/>
      <c r="K18" s="181"/>
      <c r="L18" s="21">
        <f t="shared" si="6"/>
        <v>0</v>
      </c>
    </row>
    <row r="19" spans="6:12" ht="12.75">
      <c r="F19" s="100"/>
      <c r="G19" s="175"/>
      <c r="H19" s="175"/>
      <c r="I19" s="175"/>
      <c r="J19" s="175"/>
      <c r="K19" s="175"/>
      <c r="L19" s="21">
        <f t="shared" si="6"/>
        <v>0</v>
      </c>
    </row>
    <row r="20" spans="1:12" ht="12.75">
      <c r="A20" s="22" t="s">
        <v>85</v>
      </c>
      <c r="F20" s="182"/>
      <c r="G20" s="175"/>
      <c r="H20" s="175"/>
      <c r="I20" s="175"/>
      <c r="J20" s="181"/>
      <c r="K20" s="181"/>
      <c r="L20" s="21"/>
    </row>
    <row r="21" spans="1:12" ht="12.75">
      <c r="A21" t="s">
        <v>86</v>
      </c>
      <c r="B21" s="21">
        <v>14.64</v>
      </c>
      <c r="C21" s="21">
        <f>+B21*1.03</f>
        <v>15.0792</v>
      </c>
      <c r="D21">
        <v>37</v>
      </c>
      <c r="E21" s="21">
        <f>+D21*C21*52</f>
        <v>29012.3808</v>
      </c>
      <c r="F21" s="183">
        <f>+E21*0.0765</f>
        <v>2219.4471312</v>
      </c>
      <c r="G21" s="184">
        <f>9000*0.015</f>
        <v>135</v>
      </c>
      <c r="H21" s="184">
        <f>E21*0.013</f>
        <v>377.1609504</v>
      </c>
      <c r="I21" s="184">
        <v>391.88</v>
      </c>
      <c r="J21" s="184">
        <f>E21*3%</f>
        <v>870.3714239999999</v>
      </c>
      <c r="K21" s="184">
        <f>E21*3%</f>
        <v>870.3714239999999</v>
      </c>
      <c r="L21" s="21">
        <f aca="true" t="shared" si="8" ref="L21:L43">SUM(F21:K21)</f>
        <v>4864.2309296</v>
      </c>
    </row>
    <row r="22" spans="1:12" ht="12.75">
      <c r="A22" t="s">
        <v>191</v>
      </c>
      <c r="B22" s="21">
        <v>10</v>
      </c>
      <c r="C22" s="21">
        <f>+B22*1.03</f>
        <v>10.3</v>
      </c>
      <c r="D22">
        <v>29</v>
      </c>
      <c r="E22" s="21">
        <f>+D22*C22*52</f>
        <v>15532.400000000001</v>
      </c>
      <c r="F22" s="30">
        <f>+E22*0.0765</f>
        <v>1188.2286000000001</v>
      </c>
      <c r="G22" s="25">
        <f>9000*0.015</f>
        <v>135</v>
      </c>
      <c r="H22" s="25">
        <f>E22*0.013</f>
        <v>201.9212</v>
      </c>
      <c r="I22" s="27"/>
      <c r="J22" s="27"/>
      <c r="K22" s="27"/>
      <c r="L22" s="21">
        <f t="shared" si="8"/>
        <v>1525.1498000000001</v>
      </c>
    </row>
    <row r="23" spans="1:12" ht="12.75">
      <c r="A23" t="s">
        <v>192</v>
      </c>
      <c r="B23" s="21">
        <v>8</v>
      </c>
      <c r="C23" s="21">
        <f>+B23*1.03</f>
        <v>8.24</v>
      </c>
      <c r="D23">
        <v>25</v>
      </c>
      <c r="E23" s="21">
        <f>+D23*C23*52</f>
        <v>10712</v>
      </c>
      <c r="F23" s="30">
        <f>+E23*0.0765</f>
        <v>819.468</v>
      </c>
      <c r="G23" s="25">
        <f>+E23*0.013</f>
        <v>139.256</v>
      </c>
      <c r="H23" s="25">
        <f>E23*0.013</f>
        <v>139.256</v>
      </c>
      <c r="I23" s="27"/>
      <c r="J23" s="28"/>
      <c r="K23" s="28"/>
      <c r="L23" s="21">
        <f>SUM(F23:K23)</f>
        <v>1097.98</v>
      </c>
    </row>
    <row r="24" spans="1:12" ht="12.75">
      <c r="A24" t="s">
        <v>193</v>
      </c>
      <c r="B24" s="21">
        <v>8</v>
      </c>
      <c r="C24" s="21">
        <f>+B24*1.03</f>
        <v>8.24</v>
      </c>
      <c r="D24">
        <v>25</v>
      </c>
      <c r="E24" s="21">
        <f>+D24*C24*52</f>
        <v>10712</v>
      </c>
      <c r="F24" s="30">
        <f>+E24*0.0765</f>
        <v>819.468</v>
      </c>
      <c r="G24" s="25">
        <f>9000*0.015</f>
        <v>135</v>
      </c>
      <c r="H24" s="25">
        <f>E24*0.013</f>
        <v>139.256</v>
      </c>
      <c r="I24" s="27"/>
      <c r="J24" s="27"/>
      <c r="K24" s="27"/>
      <c r="L24" s="21">
        <f t="shared" si="8"/>
        <v>1093.724</v>
      </c>
    </row>
    <row r="25" spans="1:12" ht="12.75">
      <c r="A25" s="103"/>
      <c r="F25" s="30"/>
      <c r="G25" s="25"/>
      <c r="H25" s="25"/>
      <c r="I25" s="27"/>
      <c r="J25" s="28"/>
      <c r="K25" s="28"/>
      <c r="L25" s="21">
        <f t="shared" si="8"/>
        <v>0</v>
      </c>
    </row>
    <row r="26" spans="6:12" ht="12.75">
      <c r="F26" s="30"/>
      <c r="G26" s="25"/>
      <c r="H26" s="25"/>
      <c r="I26" s="27"/>
      <c r="J26" s="28"/>
      <c r="K26" s="28"/>
      <c r="L26" s="21"/>
    </row>
    <row r="27" spans="1:12" ht="12.75">
      <c r="A27" t="s">
        <v>87</v>
      </c>
      <c r="D27">
        <f aca="true" t="shared" si="9" ref="D27:K27">SUM(D21:D25)</f>
        <v>116</v>
      </c>
      <c r="E27" s="34">
        <f t="shared" si="9"/>
        <v>65968.78080000001</v>
      </c>
      <c r="F27" s="34">
        <f t="shared" si="9"/>
        <v>5046.6117312</v>
      </c>
      <c r="G27" s="27">
        <f t="shared" si="9"/>
        <v>544.256</v>
      </c>
      <c r="H27" s="27">
        <f t="shared" si="9"/>
        <v>857.5941504</v>
      </c>
      <c r="I27" s="27">
        <f t="shared" si="9"/>
        <v>391.88</v>
      </c>
      <c r="J27" s="27">
        <f t="shared" si="9"/>
        <v>870.3714239999999</v>
      </c>
      <c r="K27" s="27">
        <f t="shared" si="9"/>
        <v>870.3714239999999</v>
      </c>
      <c r="L27" s="21">
        <f>SUM(L21:L26)</f>
        <v>8581.084729600001</v>
      </c>
    </row>
    <row r="28" spans="6:12" ht="12.75">
      <c r="F28" s="34"/>
      <c r="G28" s="27"/>
      <c r="H28" s="27"/>
      <c r="I28" s="27"/>
      <c r="J28" s="28"/>
      <c r="K28" s="28"/>
      <c r="L28" s="21">
        <f t="shared" si="8"/>
        <v>0</v>
      </c>
    </row>
    <row r="29" spans="1:12" ht="12.75">
      <c r="A29" s="22" t="s">
        <v>88</v>
      </c>
      <c r="F29" s="34"/>
      <c r="G29" s="27"/>
      <c r="H29" s="27"/>
      <c r="I29" s="27"/>
      <c r="J29" s="28"/>
      <c r="K29" s="28"/>
      <c r="L29" s="21">
        <f t="shared" si="8"/>
        <v>0</v>
      </c>
    </row>
    <row r="30" spans="1:12" ht="12.75">
      <c r="A30" t="s">
        <v>167</v>
      </c>
      <c r="B30" s="21">
        <v>13.39</v>
      </c>
      <c r="C30" s="21">
        <f>+B30*1.03</f>
        <v>13.7917</v>
      </c>
      <c r="D30">
        <v>40</v>
      </c>
      <c r="E30" s="21">
        <f>+D30*C30*52</f>
        <v>28686.736</v>
      </c>
      <c r="F30" s="30">
        <f>+E30*0.0765</f>
        <v>2194.535304</v>
      </c>
      <c r="G30" s="25">
        <f>9000*0.015</f>
        <v>135</v>
      </c>
      <c r="H30" s="25">
        <f>E30*0.013</f>
        <v>372.927568</v>
      </c>
      <c r="I30" s="27">
        <v>0</v>
      </c>
      <c r="J30" s="27">
        <v>0</v>
      </c>
      <c r="K30" s="27">
        <v>0</v>
      </c>
      <c r="L30" s="21">
        <f t="shared" si="8"/>
        <v>2702.462872</v>
      </c>
    </row>
    <row r="31" spans="4:12" ht="12.75">
      <c r="D31">
        <f>SUM(D30:D30)</f>
        <v>40</v>
      </c>
      <c r="E31" s="21">
        <f>SUM(E30:E30)</f>
        <v>28686.736</v>
      </c>
      <c r="F31" s="30">
        <f>SUM(F30:F30)</f>
        <v>2194.535304</v>
      </c>
      <c r="G31" s="25">
        <f>SUM(G30:G30)</f>
        <v>135</v>
      </c>
      <c r="H31" s="25">
        <f>E31*0.034</f>
        <v>975.3490240000001</v>
      </c>
      <c r="I31" s="27">
        <f>SUM(I30:I30)</f>
        <v>0</v>
      </c>
      <c r="J31" s="27">
        <f>SUM(J30:J30)</f>
        <v>0</v>
      </c>
      <c r="K31" s="27">
        <f>SUM(K30:K30)</f>
        <v>0</v>
      </c>
      <c r="L31" s="21">
        <f>SUM(L30:L30)</f>
        <v>2702.462872</v>
      </c>
    </row>
    <row r="32" spans="6:12" ht="12.75">
      <c r="F32" s="34"/>
      <c r="G32" s="27"/>
      <c r="H32" s="27"/>
      <c r="I32" s="27"/>
      <c r="J32" s="28"/>
      <c r="K32" s="28"/>
      <c r="L32" s="21">
        <f t="shared" si="8"/>
        <v>0</v>
      </c>
    </row>
    <row r="33" spans="1:12" ht="12.75">
      <c r="A33" s="22" t="s">
        <v>168</v>
      </c>
      <c r="F33" s="34"/>
      <c r="G33" s="27"/>
      <c r="H33" s="27"/>
      <c r="I33" s="27"/>
      <c r="J33" s="28"/>
      <c r="K33" s="28"/>
      <c r="L33" s="21">
        <f t="shared" si="8"/>
        <v>0</v>
      </c>
    </row>
    <row r="34" spans="1:12" ht="12.75">
      <c r="A34" s="103" t="s">
        <v>171</v>
      </c>
      <c r="B34" s="21">
        <v>8.61</v>
      </c>
      <c r="C34" s="21">
        <f>+B34*1.03</f>
        <v>8.8683</v>
      </c>
      <c r="D34">
        <v>5</v>
      </c>
      <c r="E34" s="21">
        <f>+D34*C34*52</f>
        <v>2305.758</v>
      </c>
      <c r="F34" s="30">
        <f>+E34*0.0765</f>
        <v>176.39048699999998</v>
      </c>
      <c r="G34" s="25">
        <f>+E34*0.013</f>
        <v>29.974853999999997</v>
      </c>
      <c r="H34" s="25">
        <f>E34*0.013</f>
        <v>29.974853999999997</v>
      </c>
      <c r="I34" s="27"/>
      <c r="J34" s="28"/>
      <c r="K34" s="27"/>
      <c r="L34" s="21">
        <f t="shared" si="8"/>
        <v>236.34019499999997</v>
      </c>
    </row>
    <row r="35" spans="5:12" ht="12.75">
      <c r="E35" s="21">
        <f>+D35*C35*52</f>
        <v>0</v>
      </c>
      <c r="F35" s="30">
        <f>+E35*0.0765</f>
        <v>0</v>
      </c>
      <c r="G35" s="25">
        <f>+E35*0.033</f>
        <v>0</v>
      </c>
      <c r="H35" s="25"/>
      <c r="I35" s="27"/>
      <c r="J35" s="28"/>
      <c r="K35" s="27"/>
      <c r="L35" s="21">
        <f t="shared" si="8"/>
        <v>0</v>
      </c>
    </row>
    <row r="36" spans="1:12" ht="12.75">
      <c r="A36" t="s">
        <v>89</v>
      </c>
      <c r="D36">
        <f>SUM(D34:D35)</f>
        <v>5</v>
      </c>
      <c r="E36" s="34">
        <f>SUM(E34:E35)</f>
        <v>2305.758</v>
      </c>
      <c r="F36" s="34">
        <f aca="true" t="shared" si="10" ref="F36:K36">SUM(F34:F35)</f>
        <v>176.39048699999998</v>
      </c>
      <c r="G36" s="27">
        <f t="shared" si="10"/>
        <v>29.974853999999997</v>
      </c>
      <c r="H36" s="27">
        <f t="shared" si="10"/>
        <v>29.974853999999997</v>
      </c>
      <c r="I36" s="27">
        <f t="shared" si="10"/>
        <v>0</v>
      </c>
      <c r="J36" s="27">
        <f t="shared" si="10"/>
        <v>0</v>
      </c>
      <c r="K36" s="27">
        <f t="shared" si="10"/>
        <v>0</v>
      </c>
      <c r="L36" s="21">
        <f t="shared" si="8"/>
        <v>236.34019499999997</v>
      </c>
    </row>
    <row r="37" spans="6:12" ht="12.75">
      <c r="F37" s="34"/>
      <c r="G37" s="27"/>
      <c r="H37" s="27"/>
      <c r="I37" s="27"/>
      <c r="J37" s="28"/>
      <c r="K37" s="28"/>
      <c r="L37" s="21">
        <f t="shared" si="8"/>
        <v>0</v>
      </c>
    </row>
    <row r="38" spans="1:12" ht="12.75">
      <c r="A38" s="22" t="s">
        <v>90</v>
      </c>
      <c r="F38" s="34"/>
      <c r="G38" s="27"/>
      <c r="H38" s="27"/>
      <c r="I38" s="27"/>
      <c r="J38" s="28"/>
      <c r="K38" s="28"/>
      <c r="L38" s="21">
        <f t="shared" si="8"/>
        <v>0</v>
      </c>
    </row>
    <row r="39" spans="1:12" ht="12.75">
      <c r="A39" t="s">
        <v>178</v>
      </c>
      <c r="B39" s="21">
        <v>16.45</v>
      </c>
      <c r="C39" s="21">
        <f aca="true" t="shared" si="11" ref="C39:C44">+B39*1.03</f>
        <v>16.9435</v>
      </c>
      <c r="D39">
        <v>40</v>
      </c>
      <c r="E39" s="21">
        <f aca="true" t="shared" si="12" ref="E39:E45">+D39*C39*52</f>
        <v>35242.48</v>
      </c>
      <c r="F39" s="30">
        <f aca="true" t="shared" si="13" ref="F39:F45">+E39*0.0765</f>
        <v>2696.04972</v>
      </c>
      <c r="G39" s="25">
        <f>9000*0.015</f>
        <v>135</v>
      </c>
      <c r="H39" s="25">
        <f aca="true" t="shared" si="14" ref="H39:H45">E39*0.013</f>
        <v>458.15224</v>
      </c>
      <c r="I39" s="25">
        <v>391.88</v>
      </c>
      <c r="J39" s="25">
        <f>E39*3%</f>
        <v>1057.2744</v>
      </c>
      <c r="K39" s="25">
        <f>E39*3%</f>
        <v>1057.2744</v>
      </c>
      <c r="L39" s="21">
        <f t="shared" si="8"/>
        <v>5795.63076</v>
      </c>
    </row>
    <row r="40" spans="1:12" ht="12.75">
      <c r="A40" s="103" t="s">
        <v>183</v>
      </c>
      <c r="B40" s="21">
        <v>10</v>
      </c>
      <c r="C40" s="21">
        <f t="shared" si="11"/>
        <v>10.3</v>
      </c>
      <c r="D40">
        <v>40</v>
      </c>
      <c r="E40" s="21">
        <f>+D40*C40*52</f>
        <v>21424</v>
      </c>
      <c r="F40" s="30">
        <f>+E40*0.0765</f>
        <v>1638.936</v>
      </c>
      <c r="G40" s="25">
        <f>9000*0.015</f>
        <v>135</v>
      </c>
      <c r="H40" s="25">
        <f>E40*0.013</f>
        <v>278.512</v>
      </c>
      <c r="I40" s="25">
        <v>391.88</v>
      </c>
      <c r="J40" s="25">
        <f>E40*3%</f>
        <v>642.72</v>
      </c>
      <c r="K40" s="25">
        <f>E40*3%</f>
        <v>642.72</v>
      </c>
      <c r="L40" s="21"/>
    </row>
    <row r="41" spans="1:12" ht="12.75">
      <c r="A41" s="103" t="s">
        <v>196</v>
      </c>
      <c r="B41" s="21">
        <v>8.5</v>
      </c>
      <c r="C41" s="21">
        <f t="shared" si="11"/>
        <v>8.755</v>
      </c>
      <c r="D41">
        <v>20</v>
      </c>
      <c r="E41" s="21">
        <f t="shared" si="12"/>
        <v>9105.2</v>
      </c>
      <c r="F41" s="30">
        <f t="shared" si="13"/>
        <v>696.5478</v>
      </c>
      <c r="G41" s="25">
        <f>9000*0.015</f>
        <v>135</v>
      </c>
      <c r="H41" s="25">
        <f t="shared" si="14"/>
        <v>118.36760000000001</v>
      </c>
      <c r="I41" s="27"/>
      <c r="J41" s="28"/>
      <c r="K41" s="28"/>
      <c r="L41" s="21">
        <f t="shared" si="8"/>
        <v>949.9154000000001</v>
      </c>
    </row>
    <row r="42" spans="1:13" ht="12.75">
      <c r="A42" s="103" t="s">
        <v>194</v>
      </c>
      <c r="B42" s="21">
        <v>8</v>
      </c>
      <c r="C42" s="21">
        <f t="shared" si="11"/>
        <v>8.24</v>
      </c>
      <c r="D42">
        <v>20</v>
      </c>
      <c r="E42" s="21">
        <f t="shared" si="12"/>
        <v>8569.6</v>
      </c>
      <c r="F42" s="30">
        <f t="shared" si="13"/>
        <v>655.5744</v>
      </c>
      <c r="G42" s="25">
        <f>+E42*0.013</f>
        <v>111.4048</v>
      </c>
      <c r="H42" s="25">
        <f t="shared" si="14"/>
        <v>111.4048</v>
      </c>
      <c r="I42" s="27"/>
      <c r="J42" s="27"/>
      <c r="K42" s="27"/>
      <c r="L42" s="21">
        <f t="shared" si="8"/>
        <v>878.384</v>
      </c>
      <c r="M42" s="21">
        <v>387078.2564554603</v>
      </c>
    </row>
    <row r="43" spans="1:13" ht="12.75">
      <c r="A43" s="103" t="s">
        <v>180</v>
      </c>
      <c r="B43" s="21">
        <v>9</v>
      </c>
      <c r="C43" s="21">
        <f t="shared" si="11"/>
        <v>9.27</v>
      </c>
      <c r="D43">
        <v>20</v>
      </c>
      <c r="E43" s="21">
        <f t="shared" si="12"/>
        <v>9640.8</v>
      </c>
      <c r="F43" s="30">
        <f t="shared" si="13"/>
        <v>737.5211999999999</v>
      </c>
      <c r="G43" s="25">
        <f>+E43*0.013</f>
        <v>125.33039999999998</v>
      </c>
      <c r="H43" s="25">
        <f t="shared" si="14"/>
        <v>125.33039999999998</v>
      </c>
      <c r="I43" s="27"/>
      <c r="J43" s="28"/>
      <c r="K43" s="28"/>
      <c r="L43" s="21">
        <f t="shared" si="8"/>
        <v>988.1819999999998</v>
      </c>
      <c r="M43" s="21"/>
    </row>
    <row r="44" spans="1:13" ht="12.75">
      <c r="A44" s="103" t="s">
        <v>195</v>
      </c>
      <c r="B44" s="21">
        <v>8.5</v>
      </c>
      <c r="C44" s="21">
        <f t="shared" si="11"/>
        <v>8.755</v>
      </c>
      <c r="D44">
        <v>15</v>
      </c>
      <c r="E44" s="21">
        <f t="shared" si="12"/>
        <v>6828.900000000001</v>
      </c>
      <c r="F44" s="30">
        <f t="shared" si="13"/>
        <v>522.41085</v>
      </c>
      <c r="G44" s="25">
        <f>+E44*0.013</f>
        <v>88.7757</v>
      </c>
      <c r="H44" s="25">
        <f t="shared" si="14"/>
        <v>88.7757</v>
      </c>
      <c r="I44" s="27"/>
      <c r="J44" s="27"/>
      <c r="K44" s="27"/>
      <c r="L44" s="21"/>
      <c r="M44" s="21"/>
    </row>
    <row r="45" spans="1:13" ht="12.75">
      <c r="A45" t="s">
        <v>197</v>
      </c>
      <c r="B45" s="21">
        <v>8.5</v>
      </c>
      <c r="C45" s="21">
        <v>8</v>
      </c>
      <c r="D45">
        <v>20</v>
      </c>
      <c r="E45" s="21">
        <f t="shared" si="12"/>
        <v>8320</v>
      </c>
      <c r="F45" s="30">
        <f t="shared" si="13"/>
        <v>636.48</v>
      </c>
      <c r="G45" s="25">
        <f>9000*0.015</f>
        <v>135</v>
      </c>
      <c r="H45" s="25">
        <f t="shared" si="14"/>
        <v>108.16</v>
      </c>
      <c r="I45" s="102"/>
      <c r="J45" s="102"/>
      <c r="K45" s="102"/>
      <c r="L45" s="21"/>
      <c r="M45" s="21"/>
    </row>
    <row r="46" spans="1:13" ht="15.75" thickBot="1">
      <c r="A46" t="s">
        <v>89</v>
      </c>
      <c r="D46">
        <f>SUM(D39:D45)</f>
        <v>175</v>
      </c>
      <c r="E46" s="35">
        <f>SUM(E39:E45)</f>
        <v>99130.98000000001</v>
      </c>
      <c r="F46" s="35">
        <f aca="true" t="shared" si="15" ref="F46:L46">SUM(F39:F43)</f>
        <v>6424.6291200000005</v>
      </c>
      <c r="G46" s="29">
        <f t="shared" si="15"/>
        <v>641.7352</v>
      </c>
      <c r="H46" s="29">
        <f t="shared" si="15"/>
        <v>1091.7670400000002</v>
      </c>
      <c r="I46" s="29">
        <f t="shared" si="15"/>
        <v>783.76</v>
      </c>
      <c r="J46" s="29">
        <f t="shared" si="15"/>
        <v>1699.9944</v>
      </c>
      <c r="K46" s="29">
        <f t="shared" si="15"/>
        <v>1699.9944</v>
      </c>
      <c r="L46" s="21">
        <f t="shared" si="15"/>
        <v>8612.11216</v>
      </c>
      <c r="M46" s="45"/>
    </row>
    <row r="47" spans="1:13" s="22" customFormat="1" ht="13.5" thickBot="1">
      <c r="A47" s="22" t="s">
        <v>91</v>
      </c>
      <c r="B47" s="60"/>
      <c r="C47" s="60"/>
      <c r="D47" s="95">
        <f aca="true" t="shared" si="16" ref="D47:L47">+D17+D27+D31+D36+D46</f>
        <v>653</v>
      </c>
      <c r="E47" s="185">
        <f t="shared" si="16"/>
        <v>429316.59160000004</v>
      </c>
      <c r="F47" s="185">
        <f t="shared" si="16"/>
        <v>31683.8284074</v>
      </c>
      <c r="G47" s="185">
        <f t="shared" si="16"/>
        <v>2742.402054</v>
      </c>
      <c r="H47" s="185">
        <f t="shared" si="16"/>
        <v>5986.601446799999</v>
      </c>
      <c r="I47" s="185">
        <f t="shared" si="16"/>
        <v>3135.04</v>
      </c>
      <c r="J47" s="185">
        <f t="shared" si="16"/>
        <v>7776.288624000001</v>
      </c>
      <c r="K47" s="185">
        <f t="shared" si="16"/>
        <v>7776.288624000001</v>
      </c>
      <c r="L47" s="60">
        <f t="shared" si="16"/>
        <v>53888.6197002</v>
      </c>
      <c r="M47" s="60">
        <f>+L47+E47</f>
        <v>483205.2113002</v>
      </c>
    </row>
    <row r="48" ht="13.5" thickTop="1"/>
    <row r="49" spans="1:13" s="93" customFormat="1" ht="13.5" thickBot="1">
      <c r="A49" s="22" t="s">
        <v>174</v>
      </c>
      <c r="D49" s="95">
        <v>660</v>
      </c>
      <c r="E49" s="96">
        <v>414877.9613999999</v>
      </c>
      <c r="F49" s="96">
        <v>31738.164047099996</v>
      </c>
      <c r="G49" s="96">
        <v>2881.6058334</v>
      </c>
      <c r="H49" s="96">
        <v>14105.8506876</v>
      </c>
      <c r="I49" s="96">
        <v>3135.04</v>
      </c>
      <c r="J49" s="96">
        <v>7631.987999999999</v>
      </c>
      <c r="K49" s="96">
        <v>7631.987999999999</v>
      </c>
      <c r="L49" s="93">
        <v>62299.77282960001</v>
      </c>
      <c r="M49" s="93">
        <v>431238.8992296</v>
      </c>
    </row>
    <row r="50" ht="13.5" thickTop="1"/>
    <row r="51" spans="1:12" s="22" customFormat="1" ht="15.75">
      <c r="A51" s="22" t="s">
        <v>166</v>
      </c>
      <c r="B51" s="60"/>
      <c r="C51" s="60"/>
      <c r="E51" s="107">
        <f>+E47-E49</f>
        <v>14438.63020000013</v>
      </c>
      <c r="F51" s="107"/>
      <c r="G51" s="107"/>
      <c r="H51" s="107"/>
      <c r="I51" s="108"/>
      <c r="J51" s="107"/>
      <c r="K51" s="107"/>
      <c r="L51" s="107"/>
    </row>
    <row r="53" s="93" customFormat="1" ht="15">
      <c r="E53" s="94"/>
    </row>
  </sheetData>
  <sheetProtection/>
  <printOptions/>
  <pageMargins left="0.75" right="0.75" top="0.25" bottom="0.25" header="0.5" footer="0.25"/>
  <pageSetup fitToHeight="1" fitToWidth="1" horizontalDpi="600" verticalDpi="600" orientation="portrait" scale="55" r:id="rId1"/>
  <headerFooter alignWithMargins="0">
    <oddFooter>&amp;L&amp;B Confidential&amp;B&amp;C&amp;D&amp;RPage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PageLayoutView="0" workbookViewId="0" topLeftCell="A1">
      <pane xSplit="1" ySplit="5" topLeftCell="B15" activePane="bottomRight" state="frozen"/>
      <selection pane="topLeft" activeCell="K112" sqref="K112"/>
      <selection pane="topRight" activeCell="K112" sqref="K112"/>
      <selection pane="bottomLeft" activeCell="K112" sqref="K112"/>
      <selection pane="bottomRight" activeCell="A50" sqref="A50"/>
    </sheetView>
  </sheetViews>
  <sheetFormatPr defaultColWidth="9.140625" defaultRowHeight="12.75"/>
  <cols>
    <col min="1" max="1" width="26.00390625" style="0" bestFit="1" customWidth="1"/>
    <col min="2" max="2" width="11.421875" style="21" customWidth="1"/>
    <col min="3" max="3" width="11.28125" style="21" customWidth="1"/>
    <col min="4" max="4" width="7.421875" style="0" customWidth="1"/>
    <col min="5" max="5" width="16.57421875" style="21" customWidth="1"/>
    <col min="6" max="6" width="15.140625" style="31" customWidth="1"/>
    <col min="7" max="7" width="10.7109375" style="0" customWidth="1"/>
    <col min="8" max="8" width="11.28125" style="0" customWidth="1"/>
    <col min="9" max="9" width="13.7109375" style="21" customWidth="1"/>
    <col min="10" max="10" width="13.7109375" style="0" customWidth="1"/>
    <col min="11" max="11" width="10.57421875" style="0" customWidth="1"/>
    <col min="12" max="12" width="15.140625" style="0" customWidth="1"/>
    <col min="13" max="13" width="16.57421875" style="0" bestFit="1" customWidth="1"/>
  </cols>
  <sheetData>
    <row r="1" ht="12.75">
      <c r="A1" s="22"/>
    </row>
    <row r="2" ht="18">
      <c r="A2" s="61" t="s">
        <v>186</v>
      </c>
    </row>
    <row r="3" spans="1:3" ht="18">
      <c r="A3" s="61"/>
      <c r="C3" s="37"/>
    </row>
    <row r="4" spans="1:11" ht="12.75">
      <c r="A4" t="s">
        <v>78</v>
      </c>
      <c r="B4" s="60" t="s">
        <v>179</v>
      </c>
      <c r="C4" s="60" t="s">
        <v>188</v>
      </c>
      <c r="D4" t="s">
        <v>92</v>
      </c>
      <c r="E4" s="23" t="s">
        <v>80</v>
      </c>
      <c r="F4" s="32" t="s">
        <v>93</v>
      </c>
      <c r="G4" s="24" t="s">
        <v>94</v>
      </c>
      <c r="H4" s="24" t="s">
        <v>95</v>
      </c>
      <c r="I4" s="92" t="s">
        <v>96</v>
      </c>
      <c r="J4" s="24" t="s">
        <v>97</v>
      </c>
      <c r="K4" s="24" t="s">
        <v>98</v>
      </c>
    </row>
    <row r="5" spans="1:11" ht="12.75">
      <c r="A5" s="22" t="s">
        <v>81</v>
      </c>
      <c r="B5" s="21" t="s">
        <v>79</v>
      </c>
      <c r="C5" s="21" t="s">
        <v>79</v>
      </c>
      <c r="F5" s="33"/>
      <c r="G5" s="24"/>
      <c r="H5" s="24"/>
      <c r="I5" s="92"/>
      <c r="J5" s="24"/>
      <c r="K5" s="24"/>
    </row>
    <row r="6" spans="1:12" ht="12.75">
      <c r="A6" t="s">
        <v>82</v>
      </c>
      <c r="B6" s="21">
        <v>25.88</v>
      </c>
      <c r="C6" s="21">
        <v>25.88</v>
      </c>
      <c r="D6">
        <v>40</v>
      </c>
      <c r="E6" s="21">
        <f aca="true" t="shared" si="0" ref="E6:E14">+D6*C6*52</f>
        <v>53830.4</v>
      </c>
      <c r="F6" s="30">
        <f aca="true" t="shared" si="1" ref="F6:F15">+E6*0.0765</f>
        <v>4118.0256</v>
      </c>
      <c r="G6" s="25">
        <f aca="true" t="shared" si="2" ref="G6:G11">9000*0.015</f>
        <v>135</v>
      </c>
      <c r="H6" s="25">
        <f>E6*0.013</f>
        <v>699.7952</v>
      </c>
      <c r="I6" s="25">
        <v>381.48</v>
      </c>
      <c r="J6" s="25">
        <f>E6*3%</f>
        <v>1614.912</v>
      </c>
      <c r="K6" s="25">
        <f>E6*3%</f>
        <v>1614.912</v>
      </c>
      <c r="L6" s="21">
        <f aca="true" t="shared" si="3" ref="L6:L12">SUM(F6:K6)</f>
        <v>8564.1248</v>
      </c>
    </row>
    <row r="7" spans="1:12" ht="12.75">
      <c r="A7" t="s">
        <v>83</v>
      </c>
      <c r="B7" s="21">
        <v>22.35</v>
      </c>
      <c r="C7" s="21">
        <v>22.35</v>
      </c>
      <c r="D7">
        <v>40</v>
      </c>
      <c r="E7" s="21">
        <f t="shared" si="0"/>
        <v>46488</v>
      </c>
      <c r="F7" s="30">
        <f t="shared" si="1"/>
        <v>3556.332</v>
      </c>
      <c r="G7" s="25">
        <f t="shared" si="2"/>
        <v>135</v>
      </c>
      <c r="H7" s="25">
        <f aca="true" t="shared" si="4" ref="H7:H15">E7*0.013</f>
        <v>604.3439999999999</v>
      </c>
      <c r="I7" s="25">
        <v>381.48</v>
      </c>
      <c r="J7" s="25">
        <f>E7*3%</f>
        <v>1394.6399999999999</v>
      </c>
      <c r="K7" s="25">
        <f>E7*3%</f>
        <v>1394.6399999999999</v>
      </c>
      <c r="L7" s="21">
        <f t="shared" si="3"/>
        <v>7466.435999999998</v>
      </c>
    </row>
    <row r="8" spans="1:12" ht="12.75">
      <c r="A8" t="s">
        <v>159</v>
      </c>
      <c r="B8" s="21">
        <v>12.73</v>
      </c>
      <c r="C8" s="21">
        <f aca="true" t="shared" si="5" ref="C8:C16">+B8+2</f>
        <v>14.73</v>
      </c>
      <c r="D8">
        <v>40</v>
      </c>
      <c r="E8" s="21">
        <f>+D8*C8*52</f>
        <v>30638.4</v>
      </c>
      <c r="F8" s="30">
        <f>+E8*0.0765</f>
        <v>2343.8376000000003</v>
      </c>
      <c r="G8" s="25">
        <f t="shared" si="2"/>
        <v>135</v>
      </c>
      <c r="H8" s="25">
        <f>E8*0.013</f>
        <v>398.2992</v>
      </c>
      <c r="I8" s="25">
        <v>381.48</v>
      </c>
      <c r="J8" s="25">
        <f>E8*3%</f>
        <v>919.152</v>
      </c>
      <c r="K8" s="25">
        <f>E8*3%</f>
        <v>919.152</v>
      </c>
      <c r="L8" s="21">
        <f t="shared" si="3"/>
        <v>5096.9208</v>
      </c>
    </row>
    <row r="9" spans="1:12" ht="12.75">
      <c r="A9" t="s">
        <v>173</v>
      </c>
      <c r="B9" s="21">
        <v>12.36</v>
      </c>
      <c r="C9" s="21">
        <f t="shared" si="5"/>
        <v>14.36</v>
      </c>
      <c r="D9">
        <v>35</v>
      </c>
      <c r="E9" s="21">
        <f>+D9*C9*52</f>
        <v>26135.199999999997</v>
      </c>
      <c r="F9" s="30">
        <f>+E9*0.0765</f>
        <v>1999.3427999999997</v>
      </c>
      <c r="G9" s="25">
        <f t="shared" si="2"/>
        <v>135</v>
      </c>
      <c r="H9" s="25">
        <f>E9*0.013</f>
        <v>339.75759999999997</v>
      </c>
      <c r="I9" s="25">
        <v>381.48</v>
      </c>
      <c r="J9" s="25">
        <f>E9*3%</f>
        <v>784.0559999999999</v>
      </c>
      <c r="K9" s="25">
        <f>E9*3%</f>
        <v>784.0559999999999</v>
      </c>
      <c r="L9" s="21">
        <f t="shared" si="3"/>
        <v>4423.692399999999</v>
      </c>
    </row>
    <row r="10" spans="1:12" ht="12.75">
      <c r="A10" t="s">
        <v>181</v>
      </c>
      <c r="B10" s="21">
        <v>9</v>
      </c>
      <c r="C10" s="21">
        <f t="shared" si="5"/>
        <v>11</v>
      </c>
      <c r="D10">
        <v>40</v>
      </c>
      <c r="E10" s="21">
        <f>+D10*C10*52</f>
        <v>22880</v>
      </c>
      <c r="F10" s="30">
        <f>+E10*0.0765</f>
        <v>1750.32</v>
      </c>
      <c r="G10" s="25">
        <f t="shared" si="2"/>
        <v>135</v>
      </c>
      <c r="H10" s="25">
        <f>E10*0.013</f>
        <v>297.44</v>
      </c>
      <c r="I10" s="25">
        <v>381.48</v>
      </c>
      <c r="J10" s="25">
        <f>E10*3%</f>
        <v>686.4</v>
      </c>
      <c r="K10" s="25">
        <f>E10*3%</f>
        <v>686.4</v>
      </c>
      <c r="L10" s="21">
        <f t="shared" si="3"/>
        <v>3937.04</v>
      </c>
    </row>
    <row r="11" spans="1:12" ht="12.75">
      <c r="A11" t="s">
        <v>154</v>
      </c>
      <c r="B11" s="21">
        <v>11.65</v>
      </c>
      <c r="C11" s="21">
        <f t="shared" si="5"/>
        <v>13.65</v>
      </c>
      <c r="D11">
        <v>29</v>
      </c>
      <c r="E11" s="21">
        <f>+D11*C11*52</f>
        <v>20584.2</v>
      </c>
      <c r="F11" s="30">
        <f t="shared" si="1"/>
        <v>1574.6913</v>
      </c>
      <c r="G11" s="25">
        <f t="shared" si="2"/>
        <v>135</v>
      </c>
      <c r="H11" s="25">
        <f t="shared" si="4"/>
        <v>267.5946</v>
      </c>
      <c r="I11" s="27"/>
      <c r="J11" s="27"/>
      <c r="K11" s="27"/>
      <c r="L11" s="21">
        <f t="shared" si="3"/>
        <v>1977.2858999999999</v>
      </c>
    </row>
    <row r="12" spans="1:12" ht="12.75">
      <c r="A12" t="s">
        <v>198</v>
      </c>
      <c r="B12" s="21">
        <v>9</v>
      </c>
      <c r="C12" s="21">
        <f t="shared" si="5"/>
        <v>11</v>
      </c>
      <c r="D12">
        <v>29</v>
      </c>
      <c r="E12" s="21">
        <f>+D12*C12*52</f>
        <v>16588</v>
      </c>
      <c r="F12" s="30">
        <f t="shared" si="1"/>
        <v>1268.982</v>
      </c>
      <c r="G12" s="25">
        <v>135</v>
      </c>
      <c r="H12" s="25">
        <f t="shared" si="4"/>
        <v>215.64399999999998</v>
      </c>
      <c r="I12" s="27"/>
      <c r="J12" s="27"/>
      <c r="K12" s="27"/>
      <c r="L12" s="21">
        <f t="shared" si="3"/>
        <v>1619.626</v>
      </c>
    </row>
    <row r="13" spans="1:12" ht="12.75">
      <c r="A13" t="s">
        <v>189</v>
      </c>
      <c r="B13" s="21">
        <v>9</v>
      </c>
      <c r="C13" s="21">
        <f t="shared" si="5"/>
        <v>11</v>
      </c>
      <c r="D13">
        <v>29</v>
      </c>
      <c r="E13" s="21">
        <f t="shared" si="0"/>
        <v>16588</v>
      </c>
      <c r="F13" s="30">
        <f t="shared" si="1"/>
        <v>1268.982</v>
      </c>
      <c r="G13" s="25">
        <v>135</v>
      </c>
      <c r="H13" s="25">
        <f t="shared" si="4"/>
        <v>215.64399999999998</v>
      </c>
      <c r="I13" s="27"/>
      <c r="J13" s="27"/>
      <c r="K13" s="27"/>
      <c r="L13" s="21">
        <f aca="true" t="shared" si="6" ref="L13:L19">SUM(F13:K13)</f>
        <v>1619.626</v>
      </c>
    </row>
    <row r="14" spans="1:12" ht="12.75">
      <c r="A14" t="s">
        <v>177</v>
      </c>
      <c r="B14" s="21">
        <v>8.57</v>
      </c>
      <c r="C14" s="21">
        <f t="shared" si="5"/>
        <v>10.57</v>
      </c>
      <c r="D14">
        <v>39</v>
      </c>
      <c r="E14" s="21">
        <f t="shared" si="0"/>
        <v>21435.96</v>
      </c>
      <c r="F14" s="30">
        <f t="shared" si="1"/>
        <v>1639.8509399999998</v>
      </c>
      <c r="G14" s="25">
        <f>9000*0.015</f>
        <v>135</v>
      </c>
      <c r="H14" s="25">
        <f t="shared" si="4"/>
        <v>278.66747999999995</v>
      </c>
      <c r="I14" s="27"/>
      <c r="J14" s="27"/>
      <c r="K14" s="27"/>
      <c r="L14" s="21">
        <f t="shared" si="6"/>
        <v>2053.51842</v>
      </c>
    </row>
    <row r="15" spans="1:12" ht="12.75">
      <c r="A15" s="103" t="s">
        <v>190</v>
      </c>
      <c r="B15" s="21">
        <v>7.96</v>
      </c>
      <c r="C15" s="21">
        <f t="shared" si="5"/>
        <v>9.96</v>
      </c>
      <c r="D15">
        <v>18.5</v>
      </c>
      <c r="E15" s="21">
        <f>+D15*C15*52</f>
        <v>9581.52</v>
      </c>
      <c r="F15" s="176">
        <f t="shared" si="1"/>
        <v>732.98628</v>
      </c>
      <c r="G15" s="177">
        <f>9000*0.015</f>
        <v>135</v>
      </c>
      <c r="H15" s="177">
        <f t="shared" si="4"/>
        <v>124.55976</v>
      </c>
      <c r="I15" s="102"/>
      <c r="J15" s="102"/>
      <c r="K15" s="102"/>
      <c r="L15" s="21">
        <f>SUM(F15:K15)</f>
        <v>992.54604</v>
      </c>
    </row>
    <row r="16" spans="1:12" ht="12.75">
      <c r="A16" s="103" t="s">
        <v>182</v>
      </c>
      <c r="B16" s="21">
        <v>8.34</v>
      </c>
      <c r="C16" s="21">
        <f t="shared" si="5"/>
        <v>10.34</v>
      </c>
      <c r="E16" s="21">
        <f>+D16*C16*52</f>
        <v>0</v>
      </c>
      <c r="F16" s="178">
        <f>+E16*0.0765</f>
        <v>0</v>
      </c>
      <c r="G16" s="179"/>
      <c r="H16" s="179">
        <f>E16*0.013</f>
        <v>0</v>
      </c>
      <c r="I16" s="180"/>
      <c r="J16" s="180"/>
      <c r="K16" s="180"/>
      <c r="L16" s="21"/>
    </row>
    <row r="17" spans="1:12" ht="12.75">
      <c r="A17" t="s">
        <v>84</v>
      </c>
      <c r="D17">
        <f aca="true" t="shared" si="7" ref="D17:K17">SUM(D6:D16)</f>
        <v>339.5</v>
      </c>
      <c r="E17" s="34">
        <f t="shared" si="7"/>
        <v>264749.68</v>
      </c>
      <c r="F17" s="101">
        <f t="shared" si="7"/>
        <v>20253.350520000004</v>
      </c>
      <c r="G17" s="101">
        <f t="shared" si="7"/>
        <v>1350</v>
      </c>
      <c r="H17" s="101">
        <f t="shared" si="7"/>
        <v>3441.7458399999996</v>
      </c>
      <c r="I17" s="101">
        <f t="shared" si="7"/>
        <v>1907.4</v>
      </c>
      <c r="J17" s="101">
        <f t="shared" si="7"/>
        <v>5399.159999999999</v>
      </c>
      <c r="K17" s="101">
        <f t="shared" si="7"/>
        <v>5399.159999999999</v>
      </c>
      <c r="L17" s="21">
        <f>SUM(L6:L15)</f>
        <v>37750.81636</v>
      </c>
    </row>
    <row r="18" spans="6:12" ht="12.75">
      <c r="F18" s="100"/>
      <c r="G18" s="175"/>
      <c r="H18" s="175"/>
      <c r="I18" s="175"/>
      <c r="J18" s="181"/>
      <c r="K18" s="181"/>
      <c r="L18" s="21">
        <f t="shared" si="6"/>
        <v>0</v>
      </c>
    </row>
    <row r="19" spans="6:12" ht="12.75">
      <c r="F19" s="100"/>
      <c r="G19" s="175"/>
      <c r="H19" s="175"/>
      <c r="I19" s="175"/>
      <c r="J19" s="175"/>
      <c r="K19" s="175"/>
      <c r="L19" s="21">
        <f t="shared" si="6"/>
        <v>0</v>
      </c>
    </row>
    <row r="20" spans="1:12" ht="12.75">
      <c r="A20" s="22" t="s">
        <v>85</v>
      </c>
      <c r="F20" s="182"/>
      <c r="G20" s="175"/>
      <c r="H20" s="175"/>
      <c r="I20" s="175"/>
      <c r="J20" s="181"/>
      <c r="K20" s="181"/>
      <c r="L20" s="21"/>
    </row>
    <row r="21" spans="1:12" ht="12.75">
      <c r="A21" t="s">
        <v>86</v>
      </c>
      <c r="B21" s="21">
        <v>14.64</v>
      </c>
      <c r="C21" s="21">
        <f>+B21+2</f>
        <v>16.64</v>
      </c>
      <c r="D21">
        <v>37</v>
      </c>
      <c r="E21" s="21">
        <f>+D21*C21*52</f>
        <v>32015.360000000004</v>
      </c>
      <c r="F21" s="183">
        <f>+E21*0.0765</f>
        <v>2449.17504</v>
      </c>
      <c r="G21" s="184">
        <f>9000*0.015</f>
        <v>135</v>
      </c>
      <c r="H21" s="184">
        <f>E21*0.013</f>
        <v>416.19968000000006</v>
      </c>
      <c r="I21" s="184">
        <v>381.48</v>
      </c>
      <c r="J21" s="184">
        <f>E21*3%</f>
        <v>960.4608000000001</v>
      </c>
      <c r="K21" s="184">
        <f>E21*3%</f>
        <v>960.4608000000001</v>
      </c>
      <c r="L21" s="21">
        <f aca="true" t="shared" si="8" ref="L21:L45">SUM(F21:K21)</f>
        <v>5302.77632</v>
      </c>
    </row>
    <row r="22" spans="1:12" ht="12.75">
      <c r="A22" t="s">
        <v>191</v>
      </c>
      <c r="B22" s="21">
        <v>10</v>
      </c>
      <c r="C22" s="21">
        <f>+B22+2</f>
        <v>12</v>
      </c>
      <c r="D22">
        <v>29</v>
      </c>
      <c r="E22" s="21">
        <f>+D22*C22*52</f>
        <v>18096</v>
      </c>
      <c r="F22" s="30">
        <f>+E22*0.0765</f>
        <v>1384.344</v>
      </c>
      <c r="G22" s="25">
        <f>9000*0.015</f>
        <v>135</v>
      </c>
      <c r="H22" s="25">
        <f>E22*0.013</f>
        <v>235.248</v>
      </c>
      <c r="I22" s="27"/>
      <c r="J22" s="27"/>
      <c r="K22" s="27"/>
      <c r="L22" s="21">
        <f t="shared" si="8"/>
        <v>1754.592</v>
      </c>
    </row>
    <row r="23" spans="1:12" ht="12.75">
      <c r="A23" t="s">
        <v>192</v>
      </c>
      <c r="B23" s="21">
        <v>8</v>
      </c>
      <c r="C23" s="21">
        <f>+B23+2</f>
        <v>10</v>
      </c>
      <c r="D23">
        <v>25</v>
      </c>
      <c r="E23" s="21">
        <f>+D23*C23*52</f>
        <v>13000</v>
      </c>
      <c r="F23" s="30">
        <f>+E23*0.0765</f>
        <v>994.5</v>
      </c>
      <c r="G23" s="25">
        <f>+E23*0.013</f>
        <v>169</v>
      </c>
      <c r="H23" s="25">
        <f>E23*0.013</f>
        <v>169</v>
      </c>
      <c r="I23" s="27"/>
      <c r="J23" s="28"/>
      <c r="K23" s="28"/>
      <c r="L23" s="21">
        <f>SUM(F23:K23)</f>
        <v>1332.5</v>
      </c>
    </row>
    <row r="24" spans="1:12" ht="12.75">
      <c r="A24" t="s">
        <v>193</v>
      </c>
      <c r="B24" s="21">
        <v>8</v>
      </c>
      <c r="C24" s="21">
        <f>+B24+2</f>
        <v>10</v>
      </c>
      <c r="D24">
        <v>25</v>
      </c>
      <c r="E24" s="21">
        <f>+D24*C24*52</f>
        <v>13000</v>
      </c>
      <c r="F24" s="30">
        <f>+E24*0.0765</f>
        <v>994.5</v>
      </c>
      <c r="G24" s="25">
        <f>9000*0.015</f>
        <v>135</v>
      </c>
      <c r="H24" s="25">
        <f>E24*0.013</f>
        <v>169</v>
      </c>
      <c r="I24" s="27"/>
      <c r="J24" s="27"/>
      <c r="K24" s="27"/>
      <c r="L24" s="21">
        <f t="shared" si="8"/>
        <v>1298.5</v>
      </c>
    </row>
    <row r="25" spans="1:12" ht="12.75">
      <c r="A25" s="103"/>
      <c r="F25" s="30"/>
      <c r="G25" s="25"/>
      <c r="H25" s="25"/>
      <c r="I25" s="27"/>
      <c r="J25" s="28"/>
      <c r="K25" s="28"/>
      <c r="L25" s="21">
        <f t="shared" si="8"/>
        <v>0</v>
      </c>
    </row>
    <row r="26" spans="6:12" ht="12.75">
      <c r="F26" s="30"/>
      <c r="G26" s="25"/>
      <c r="H26" s="25"/>
      <c r="I26" s="27"/>
      <c r="J26" s="28"/>
      <c r="K26" s="28"/>
      <c r="L26" s="21"/>
    </row>
    <row r="27" spans="1:12" ht="12.75">
      <c r="A27" t="s">
        <v>87</v>
      </c>
      <c r="D27">
        <f aca="true" t="shared" si="9" ref="D27:K27">SUM(D21:D25)</f>
        <v>116</v>
      </c>
      <c r="E27" s="34">
        <f t="shared" si="9"/>
        <v>76111.36</v>
      </c>
      <c r="F27" s="34">
        <f t="shared" si="9"/>
        <v>5822.51904</v>
      </c>
      <c r="G27" s="27">
        <f t="shared" si="9"/>
        <v>574</v>
      </c>
      <c r="H27" s="27">
        <f t="shared" si="9"/>
        <v>989.44768</v>
      </c>
      <c r="I27" s="27">
        <f t="shared" si="9"/>
        <v>381.48</v>
      </c>
      <c r="J27" s="27">
        <f t="shared" si="9"/>
        <v>960.4608000000001</v>
      </c>
      <c r="K27" s="27">
        <f t="shared" si="9"/>
        <v>960.4608000000001</v>
      </c>
      <c r="L27" s="21">
        <f>SUM(L21:L26)</f>
        <v>9688.36832</v>
      </c>
    </row>
    <row r="28" spans="6:12" ht="12.75">
      <c r="F28" s="34"/>
      <c r="G28" s="27"/>
      <c r="H28" s="27"/>
      <c r="I28" s="27"/>
      <c r="J28" s="28"/>
      <c r="K28" s="28"/>
      <c r="L28" s="21">
        <f t="shared" si="8"/>
        <v>0</v>
      </c>
    </row>
    <row r="29" spans="1:12" ht="12.75">
      <c r="A29" s="22" t="s">
        <v>88</v>
      </c>
      <c r="F29" s="34"/>
      <c r="G29" s="27"/>
      <c r="H29" s="27"/>
      <c r="I29" s="27"/>
      <c r="J29" s="28"/>
      <c r="K29" s="28"/>
      <c r="L29" s="21">
        <f t="shared" si="8"/>
        <v>0</v>
      </c>
    </row>
    <row r="30" spans="1:12" ht="12.75">
      <c r="A30" t="s">
        <v>167</v>
      </c>
      <c r="B30" s="21">
        <v>13.39</v>
      </c>
      <c r="C30" s="21">
        <f>+B30+2</f>
        <v>15.39</v>
      </c>
      <c r="D30">
        <v>40</v>
      </c>
      <c r="E30" s="21">
        <f>+D30*C30*52</f>
        <v>32011.2</v>
      </c>
      <c r="F30" s="30">
        <f>+E30*0.0765</f>
        <v>2448.8568</v>
      </c>
      <c r="G30" s="25">
        <f>9000*0.015</f>
        <v>135</v>
      </c>
      <c r="H30" s="25">
        <f>E30*0.013</f>
        <v>416.1456</v>
      </c>
      <c r="I30" s="184">
        <v>381.48</v>
      </c>
      <c r="J30" s="184">
        <f>E30*3%</f>
        <v>960.336</v>
      </c>
      <c r="K30" s="184">
        <f>E30*3%</f>
        <v>960.336</v>
      </c>
      <c r="L30" s="21">
        <f t="shared" si="8"/>
        <v>5302.1544</v>
      </c>
    </row>
    <row r="31" spans="4:12" ht="12.75">
      <c r="D31">
        <f>SUM(D30:D30)</f>
        <v>40</v>
      </c>
      <c r="E31" s="21">
        <f>SUM(E30:E30)</f>
        <v>32011.2</v>
      </c>
      <c r="F31" s="30">
        <f>SUM(F30:F30)</f>
        <v>2448.8568</v>
      </c>
      <c r="G31" s="25">
        <f>SUM(G30:G30)</f>
        <v>135</v>
      </c>
      <c r="H31" s="25">
        <f>E31*0.034</f>
        <v>1088.3808000000001</v>
      </c>
      <c r="I31" s="27">
        <f>SUM(I30:I30)</f>
        <v>381.48</v>
      </c>
      <c r="J31" s="27">
        <f>SUM(J30:J30)</f>
        <v>960.336</v>
      </c>
      <c r="K31" s="27">
        <f>SUM(K30:K30)</f>
        <v>960.336</v>
      </c>
      <c r="L31" s="21">
        <f>SUM(L30:L30)</f>
        <v>5302.1544</v>
      </c>
    </row>
    <row r="32" spans="6:12" ht="12.75">
      <c r="F32" s="34"/>
      <c r="G32" s="27"/>
      <c r="H32" s="27"/>
      <c r="I32" s="27"/>
      <c r="J32" s="28"/>
      <c r="K32" s="28"/>
      <c r="L32" s="21">
        <f t="shared" si="8"/>
        <v>0</v>
      </c>
    </row>
    <row r="33" spans="1:12" ht="12.75">
      <c r="A33" s="22" t="s">
        <v>168</v>
      </c>
      <c r="F33" s="34"/>
      <c r="G33" s="27"/>
      <c r="H33" s="27"/>
      <c r="I33" s="27"/>
      <c r="J33" s="28"/>
      <c r="K33" s="28"/>
      <c r="L33" s="21">
        <f t="shared" si="8"/>
        <v>0</v>
      </c>
    </row>
    <row r="34" spans="1:12" ht="12.75">
      <c r="A34" s="103" t="s">
        <v>171</v>
      </c>
      <c r="B34" s="21">
        <v>8.61</v>
      </c>
      <c r="C34" s="21">
        <f>+B34+2</f>
        <v>10.61</v>
      </c>
      <c r="D34">
        <v>5</v>
      </c>
      <c r="E34" s="21">
        <f>+D34*C34*52</f>
        <v>2758.6</v>
      </c>
      <c r="F34" s="30">
        <f>+E34*0.0765</f>
        <v>211.03289999999998</v>
      </c>
      <c r="G34" s="25">
        <f>+E34*0.013</f>
        <v>35.861799999999995</v>
      </c>
      <c r="H34" s="25">
        <f>E34*0.013</f>
        <v>35.861799999999995</v>
      </c>
      <c r="I34" s="27"/>
      <c r="J34" s="28"/>
      <c r="K34" s="27"/>
      <c r="L34" s="21">
        <f t="shared" si="8"/>
        <v>282.75649999999996</v>
      </c>
    </row>
    <row r="35" spans="5:12" ht="12.75">
      <c r="E35" s="21">
        <f>+D35*C35*52</f>
        <v>0</v>
      </c>
      <c r="F35" s="30">
        <f>+E35*0.0765</f>
        <v>0</v>
      </c>
      <c r="G35" s="25">
        <f>+E35*0.033</f>
        <v>0</v>
      </c>
      <c r="H35" s="25"/>
      <c r="I35" s="27"/>
      <c r="J35" s="28"/>
      <c r="K35" s="27"/>
      <c r="L35" s="21">
        <f t="shared" si="8"/>
        <v>0</v>
      </c>
    </row>
    <row r="36" spans="1:12" ht="12.75">
      <c r="A36" t="s">
        <v>89</v>
      </c>
      <c r="D36">
        <f>SUM(D34:D35)</f>
        <v>5</v>
      </c>
      <c r="E36" s="34">
        <f>SUM(E34:E35)</f>
        <v>2758.6</v>
      </c>
      <c r="F36" s="34">
        <f aca="true" t="shared" si="10" ref="F36:K36">SUM(F34:F35)</f>
        <v>211.03289999999998</v>
      </c>
      <c r="G36" s="27">
        <f t="shared" si="10"/>
        <v>35.861799999999995</v>
      </c>
      <c r="H36" s="27">
        <f t="shared" si="10"/>
        <v>35.861799999999995</v>
      </c>
      <c r="I36" s="27">
        <f t="shared" si="10"/>
        <v>0</v>
      </c>
      <c r="J36" s="27">
        <f t="shared" si="10"/>
        <v>0</v>
      </c>
      <c r="K36" s="27">
        <f t="shared" si="10"/>
        <v>0</v>
      </c>
      <c r="L36" s="21">
        <f t="shared" si="8"/>
        <v>282.75649999999996</v>
      </c>
    </row>
    <row r="37" spans="6:12" ht="12.75">
      <c r="F37" s="34"/>
      <c r="G37" s="27"/>
      <c r="H37" s="27"/>
      <c r="I37" s="27"/>
      <c r="J37" s="28"/>
      <c r="K37" s="28"/>
      <c r="L37" s="21">
        <f t="shared" si="8"/>
        <v>0</v>
      </c>
    </row>
    <row r="38" spans="1:12" ht="12.75">
      <c r="A38" s="22" t="s">
        <v>90</v>
      </c>
      <c r="F38" s="34"/>
      <c r="G38" s="27"/>
      <c r="H38" s="27"/>
      <c r="I38" s="27"/>
      <c r="J38" s="28"/>
      <c r="K38" s="28"/>
      <c r="L38" s="21">
        <f t="shared" si="8"/>
        <v>0</v>
      </c>
    </row>
    <row r="39" spans="1:12" ht="12.75">
      <c r="A39" t="s">
        <v>178</v>
      </c>
      <c r="B39" s="21">
        <v>16.45</v>
      </c>
      <c r="C39" s="21">
        <f aca="true" t="shared" si="11" ref="C39:C45">+B39+2</f>
        <v>18.45</v>
      </c>
      <c r="D39">
        <v>40</v>
      </c>
      <c r="E39" s="21">
        <f aca="true" t="shared" si="12" ref="E39:E45">+D39*C39*52</f>
        <v>38376</v>
      </c>
      <c r="F39" s="30">
        <f aca="true" t="shared" si="13" ref="F39:F45">+E39*0.0765</f>
        <v>2935.764</v>
      </c>
      <c r="G39" s="25">
        <f>9000*0.015</f>
        <v>135</v>
      </c>
      <c r="H39" s="25">
        <f aca="true" t="shared" si="14" ref="H39:H45">E39*0.013</f>
        <v>498.888</v>
      </c>
      <c r="I39" s="25">
        <v>381.48</v>
      </c>
      <c r="J39" s="25">
        <f>E39*3%</f>
        <v>1151.28</v>
      </c>
      <c r="K39" s="25">
        <f>E39*3%</f>
        <v>1151.28</v>
      </c>
      <c r="L39" s="21">
        <f t="shared" si="8"/>
        <v>6253.692</v>
      </c>
    </row>
    <row r="40" spans="1:12" ht="12.75">
      <c r="A40" s="103" t="s">
        <v>198</v>
      </c>
      <c r="B40" s="21">
        <v>10</v>
      </c>
      <c r="C40" s="21">
        <f t="shared" si="11"/>
        <v>12</v>
      </c>
      <c r="D40">
        <v>40</v>
      </c>
      <c r="E40" s="21">
        <f>+D40*C40*52</f>
        <v>24960</v>
      </c>
      <c r="F40" s="30">
        <f>+E40*0.0765</f>
        <v>1909.44</v>
      </c>
      <c r="G40" s="25">
        <v>0</v>
      </c>
      <c r="H40" s="25">
        <f>E40*0.013</f>
        <v>324.47999999999996</v>
      </c>
      <c r="I40" s="25">
        <v>381.48</v>
      </c>
      <c r="J40" s="25">
        <f>E40*3%</f>
        <v>748.8</v>
      </c>
      <c r="K40" s="25">
        <f>E40*3%</f>
        <v>748.8</v>
      </c>
      <c r="L40" s="21">
        <f t="shared" si="8"/>
        <v>4113</v>
      </c>
    </row>
    <row r="41" spans="1:12" ht="12.75">
      <c r="A41" s="103" t="s">
        <v>199</v>
      </c>
      <c r="B41" s="21">
        <v>8.5</v>
      </c>
      <c r="C41" s="21">
        <f t="shared" si="11"/>
        <v>10.5</v>
      </c>
      <c r="D41">
        <v>16</v>
      </c>
      <c r="E41" s="21">
        <f t="shared" si="12"/>
        <v>8736</v>
      </c>
      <c r="F41" s="30">
        <f t="shared" si="13"/>
        <v>668.304</v>
      </c>
      <c r="G41" s="25">
        <f>9000*0.015</f>
        <v>135</v>
      </c>
      <c r="H41" s="25">
        <f t="shared" si="14"/>
        <v>113.568</v>
      </c>
      <c r="I41" s="27"/>
      <c r="J41" s="28"/>
      <c r="K41" s="28"/>
      <c r="L41" s="21">
        <f t="shared" si="8"/>
        <v>916.872</v>
      </c>
    </row>
    <row r="42" spans="1:13" ht="12.75">
      <c r="A42" s="103" t="s">
        <v>194</v>
      </c>
      <c r="B42" s="21">
        <v>8</v>
      </c>
      <c r="C42" s="21">
        <f t="shared" si="11"/>
        <v>10</v>
      </c>
      <c r="D42">
        <v>29</v>
      </c>
      <c r="E42" s="21">
        <f t="shared" si="12"/>
        <v>15080</v>
      </c>
      <c r="F42" s="30">
        <f t="shared" si="13"/>
        <v>1153.62</v>
      </c>
      <c r="G42" s="25">
        <f>+E42*0.013</f>
        <v>196.04</v>
      </c>
      <c r="H42" s="25">
        <f t="shared" si="14"/>
        <v>196.04</v>
      </c>
      <c r="I42" s="27"/>
      <c r="J42" s="27"/>
      <c r="K42" s="27"/>
      <c r="L42" s="21">
        <f t="shared" si="8"/>
        <v>1545.6999999999998</v>
      </c>
      <c r="M42" s="21">
        <v>387078.2564554603</v>
      </c>
    </row>
    <row r="43" spans="1:13" ht="12.75">
      <c r="A43" s="103" t="s">
        <v>180</v>
      </c>
      <c r="B43" s="21">
        <v>9</v>
      </c>
      <c r="C43" s="21">
        <f t="shared" si="11"/>
        <v>11</v>
      </c>
      <c r="D43">
        <v>16</v>
      </c>
      <c r="E43" s="21">
        <f t="shared" si="12"/>
        <v>9152</v>
      </c>
      <c r="F43" s="30">
        <f t="shared" si="13"/>
        <v>700.128</v>
      </c>
      <c r="G43" s="25">
        <f>+E43*0.013</f>
        <v>118.976</v>
      </c>
      <c r="H43" s="25">
        <f t="shared" si="14"/>
        <v>118.976</v>
      </c>
      <c r="I43" s="27"/>
      <c r="J43" s="28"/>
      <c r="K43" s="28"/>
      <c r="L43" s="21">
        <f t="shared" si="8"/>
        <v>938.08</v>
      </c>
      <c r="M43" s="21"/>
    </row>
    <row r="44" spans="1:13" ht="12.75">
      <c r="A44" s="103" t="s">
        <v>195</v>
      </c>
      <c r="B44" s="21">
        <v>8.5</v>
      </c>
      <c r="C44" s="21">
        <f t="shared" si="11"/>
        <v>10.5</v>
      </c>
      <c r="D44">
        <v>15</v>
      </c>
      <c r="E44" s="21">
        <f t="shared" si="12"/>
        <v>8190</v>
      </c>
      <c r="F44" s="30">
        <f t="shared" si="13"/>
        <v>626.535</v>
      </c>
      <c r="G44" s="25">
        <f>+E44*0.013</f>
        <v>106.47</v>
      </c>
      <c r="H44" s="25">
        <f t="shared" si="14"/>
        <v>106.47</v>
      </c>
      <c r="I44" s="27"/>
      <c r="J44" s="27"/>
      <c r="K44" s="27"/>
      <c r="L44" s="21">
        <f t="shared" si="8"/>
        <v>839.475</v>
      </c>
      <c r="M44" s="21"/>
    </row>
    <row r="45" spans="1:13" ht="12.75">
      <c r="A45" t="s">
        <v>197</v>
      </c>
      <c r="B45" s="21">
        <v>8.5</v>
      </c>
      <c r="C45" s="21">
        <f t="shared" si="11"/>
        <v>10.5</v>
      </c>
      <c r="D45">
        <v>29</v>
      </c>
      <c r="E45" s="21">
        <f t="shared" si="12"/>
        <v>15834</v>
      </c>
      <c r="F45" s="30">
        <f t="shared" si="13"/>
        <v>1211.301</v>
      </c>
      <c r="G45" s="25">
        <f>9000*0.015</f>
        <v>135</v>
      </c>
      <c r="H45" s="25">
        <f t="shared" si="14"/>
        <v>205.84199999999998</v>
      </c>
      <c r="I45" s="102"/>
      <c r="J45" s="102"/>
      <c r="K45" s="102"/>
      <c r="L45" s="21">
        <f t="shared" si="8"/>
        <v>1552.143</v>
      </c>
      <c r="M45" s="21"/>
    </row>
    <row r="46" spans="1:13" ht="15.75" thickBot="1">
      <c r="A46" t="s">
        <v>89</v>
      </c>
      <c r="D46">
        <f>SUM(D39:D45)</f>
        <v>185</v>
      </c>
      <c r="E46" s="35">
        <f>SUM(E39:E45)</f>
        <v>120328</v>
      </c>
      <c r="F46" s="35">
        <f aca="true" t="shared" si="15" ref="F46:K46">SUM(F39:F43)</f>
        <v>7367.255999999999</v>
      </c>
      <c r="G46" s="29">
        <f t="shared" si="15"/>
        <v>585.016</v>
      </c>
      <c r="H46" s="29">
        <f t="shared" si="15"/>
        <v>1251.9519999999998</v>
      </c>
      <c r="I46" s="29">
        <f t="shared" si="15"/>
        <v>762.96</v>
      </c>
      <c r="J46" s="29">
        <f t="shared" si="15"/>
        <v>1900.08</v>
      </c>
      <c r="K46" s="29">
        <f t="shared" si="15"/>
        <v>1900.08</v>
      </c>
      <c r="L46" s="21">
        <f>SUM(L39:L45)</f>
        <v>16158.962</v>
      </c>
      <c r="M46" s="45"/>
    </row>
    <row r="47" spans="1:13" s="22" customFormat="1" ht="13.5" thickBot="1">
      <c r="A47" s="22" t="s">
        <v>91</v>
      </c>
      <c r="B47" s="60"/>
      <c r="C47" s="60"/>
      <c r="D47" s="95">
        <f aca="true" t="shared" si="16" ref="D47:L47">+D17+D27+D31+D36+D46</f>
        <v>685.5</v>
      </c>
      <c r="E47" s="185">
        <f t="shared" si="16"/>
        <v>495958.83999999997</v>
      </c>
      <c r="F47" s="185">
        <f t="shared" si="16"/>
        <v>36103.01526</v>
      </c>
      <c r="G47" s="185">
        <f t="shared" si="16"/>
        <v>2679.8778</v>
      </c>
      <c r="H47" s="185">
        <f t="shared" si="16"/>
        <v>6807.38812</v>
      </c>
      <c r="I47" s="185">
        <f t="shared" si="16"/>
        <v>3433.32</v>
      </c>
      <c r="J47" s="185">
        <f t="shared" si="16"/>
        <v>9220.036799999998</v>
      </c>
      <c r="K47" s="185">
        <f t="shared" si="16"/>
        <v>9220.036799999998</v>
      </c>
      <c r="L47" s="60">
        <f t="shared" si="16"/>
        <v>69183.05758</v>
      </c>
      <c r="M47" s="60">
        <f>+L47+E47</f>
        <v>565141.89758</v>
      </c>
    </row>
    <row r="48" ht="13.5" thickTop="1"/>
    <row r="49" spans="1:13" s="93" customFormat="1" ht="13.5" thickBot="1">
      <c r="A49" s="22" t="s">
        <v>215</v>
      </c>
      <c r="D49" s="95">
        <v>660</v>
      </c>
      <c r="E49" s="96">
        <v>414877.9613999999</v>
      </c>
      <c r="F49" s="96">
        <v>31738.164047099996</v>
      </c>
      <c r="G49" s="96">
        <v>2881.6058334</v>
      </c>
      <c r="H49" s="96">
        <v>14105.8506876</v>
      </c>
      <c r="I49" s="96">
        <v>3135.04</v>
      </c>
      <c r="J49" s="96">
        <v>7631.987999999999</v>
      </c>
      <c r="K49" s="96">
        <v>7631.987999999999</v>
      </c>
      <c r="L49" s="93">
        <v>62299.77282960001</v>
      </c>
      <c r="M49" s="93">
        <v>431238.8992296</v>
      </c>
    </row>
    <row r="50" ht="13.5" thickTop="1"/>
    <row r="51" spans="1:12" s="22" customFormat="1" ht="15.75">
      <c r="A51" s="22" t="s">
        <v>166</v>
      </c>
      <c r="B51" s="60"/>
      <c r="C51" s="60"/>
      <c r="E51" s="107">
        <f>+E47-E49</f>
        <v>81080.87860000005</v>
      </c>
      <c r="F51" s="107"/>
      <c r="G51" s="107"/>
      <c r="H51" s="107"/>
      <c r="I51" s="108"/>
      <c r="J51" s="107"/>
      <c r="K51" s="107"/>
      <c r="L51" s="107"/>
    </row>
    <row r="53" s="93" customFormat="1" ht="15">
      <c r="E53" s="94"/>
    </row>
  </sheetData>
  <sheetProtection/>
  <printOptions/>
  <pageMargins left="0.75" right="0.75" top="0.25" bottom="0.25" header="0.5" footer="0.25"/>
  <pageSetup fitToHeight="1" fitToWidth="1" horizontalDpi="600" verticalDpi="600" orientation="portrait" r:id="rId1"/>
  <headerFooter alignWithMargins="0">
    <oddFooter>&amp;L&amp;B Confidential&amp;B&amp;C&amp;D&amp;RPage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User</cp:lastModifiedBy>
  <cp:lastPrinted>2020-11-24T19:56:07Z</cp:lastPrinted>
  <dcterms:created xsi:type="dcterms:W3CDTF">2008-10-30T20:46:00Z</dcterms:created>
  <dcterms:modified xsi:type="dcterms:W3CDTF">2021-01-12T22:07:40Z</dcterms:modified>
  <cp:category/>
  <cp:version/>
  <cp:contentType/>
  <cp:contentStatus/>
</cp:coreProperties>
</file>