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G\Board agenda.minutes\August 2019\"/>
    </mc:Choice>
  </mc:AlternateContent>
  <xr:revisionPtr revIDLastSave="0" documentId="13_ncr:1_{883EBDED-BF6B-483F-9EAF-FBB1E28AF56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2" i="1" l="1"/>
  <c r="B47" i="1"/>
  <c r="B53" i="1" s="1"/>
  <c r="B29" i="1"/>
  <c r="B44" i="1" s="1"/>
  <c r="B16" i="1"/>
  <c r="B27" i="1"/>
  <c r="B11" i="1"/>
  <c r="B54" i="1" l="1"/>
  <c r="D29" i="1"/>
  <c r="D44" i="1" s="1"/>
  <c r="D19" i="1"/>
  <c r="D27" i="1" s="1"/>
  <c r="D52" i="1"/>
  <c r="D53" i="1" s="1"/>
  <c r="C11" i="1"/>
  <c r="D11" i="1"/>
  <c r="C47" i="1"/>
  <c r="C53" i="1" s="1"/>
  <c r="C29" i="1"/>
  <c r="C44" i="1" s="1"/>
  <c r="C22" i="1"/>
  <c r="C21" i="1"/>
  <c r="C16" i="1"/>
  <c r="C27" i="1" s="1"/>
  <c r="C59" i="1" l="1"/>
  <c r="C58" i="1"/>
  <c r="C60" i="1"/>
  <c r="B55" i="1"/>
  <c r="D54" i="1"/>
  <c r="C54" i="1"/>
  <c r="D55" i="1"/>
  <c r="E47" i="1"/>
  <c r="E29" i="1"/>
  <c r="E44" i="1" s="1"/>
  <c r="E8" i="1"/>
  <c r="E11" i="1" s="1"/>
  <c r="E16" i="1"/>
  <c r="E27" i="1" s="1"/>
  <c r="E49" i="1"/>
  <c r="C55" i="1" l="1"/>
  <c r="E53" i="1"/>
  <c r="E54" i="1" s="1"/>
  <c r="E55" i="1" l="1"/>
  <c r="F16" i="1"/>
  <c r="F29" i="1"/>
  <c r="F47" i="1"/>
  <c r="F50" i="1" l="1"/>
  <c r="G11" i="1"/>
  <c r="H11" i="1"/>
  <c r="H53" i="1"/>
  <c r="G53" i="1"/>
  <c r="F51" i="1"/>
  <c r="G44" i="1"/>
  <c r="F32" i="1"/>
  <c r="F44" i="1" s="1"/>
  <c r="H27" i="1"/>
  <c r="G27" i="1"/>
  <c r="F27" i="1"/>
  <c r="H29" i="1"/>
  <c r="H44" i="1" s="1"/>
  <c r="F11" i="1"/>
  <c r="F53" i="1" l="1"/>
  <c r="F55" i="1" s="1"/>
  <c r="G55" i="1"/>
  <c r="H55" i="1"/>
  <c r="F54" i="1" l="1"/>
</calcChain>
</file>

<file path=xl/sharedStrings.xml><?xml version="1.0" encoding="utf-8"?>
<sst xmlns="http://schemas.openxmlformats.org/spreadsheetml/2006/main" count="87" uniqueCount="81">
  <si>
    <t>Income</t>
  </si>
  <si>
    <t xml:space="preserve">Income </t>
  </si>
  <si>
    <t>Total</t>
  </si>
  <si>
    <t>Expense</t>
  </si>
  <si>
    <t>Program Services</t>
  </si>
  <si>
    <t>Mammos IN May</t>
  </si>
  <si>
    <t>Prostate Cancer Clinics</t>
  </si>
  <si>
    <t>Community Health Fairs</t>
  </si>
  <si>
    <t>Management &amp; Administration</t>
  </si>
  <si>
    <t>Licenses &amp; Permits</t>
  </si>
  <si>
    <t>Education</t>
  </si>
  <si>
    <t>Travel &amp; Mileage</t>
  </si>
  <si>
    <t>Postage &amp; Mailings</t>
  </si>
  <si>
    <t>Accounting Fees</t>
  </si>
  <si>
    <t>Insurance/Officers' Liability</t>
  </si>
  <si>
    <t>Insurance/Volunteer Liability</t>
  </si>
  <si>
    <t>Printing</t>
  </si>
  <si>
    <t>Office Supplies</t>
  </si>
  <si>
    <t>Misc Expense</t>
  </si>
  <si>
    <t>Fundraising Expense</t>
  </si>
  <si>
    <t>Subscriptions</t>
  </si>
  <si>
    <t>Postage &amp; Mailing</t>
  </si>
  <si>
    <t>Special Event</t>
  </si>
  <si>
    <t>FY2017</t>
  </si>
  <si>
    <t>FY2016</t>
  </si>
  <si>
    <t>Budget</t>
  </si>
  <si>
    <t>Actual</t>
  </si>
  <si>
    <t>Dues &amp; Subscriptions</t>
  </si>
  <si>
    <t>Equipment</t>
  </si>
  <si>
    <t>Notes</t>
  </si>
  <si>
    <t>Program Services TOTAL</t>
  </si>
  <si>
    <t>MGT &amp; Administration TOTAL</t>
  </si>
  <si>
    <t>1500 miles annually</t>
  </si>
  <si>
    <t>Newsletter/tax letter for 800</t>
  </si>
  <si>
    <t>TBD</t>
  </si>
  <si>
    <t>Fundraising Expense TOTAL</t>
  </si>
  <si>
    <t>Net Income</t>
  </si>
  <si>
    <t>Interest</t>
  </si>
  <si>
    <t>In-kind Donations</t>
  </si>
  <si>
    <t>Individual/Foundation/Corporate Restricted Grants</t>
  </si>
  <si>
    <t>Salaries Inkind</t>
  </si>
  <si>
    <t>Quarterly newsletter to 500 addresses+400 invites</t>
  </si>
  <si>
    <t>Meals &amp; Meetings</t>
  </si>
  <si>
    <t>Board &amp; donor cultivation</t>
  </si>
  <si>
    <t>Name change</t>
  </si>
  <si>
    <t>Patient Prescripton Underwriting*</t>
  </si>
  <si>
    <t>Cash Reserves</t>
  </si>
  <si>
    <t>Printer/Copier connections; FY16: office furniture</t>
  </si>
  <si>
    <t>Staff &amp; Benefits</t>
  </si>
  <si>
    <t>Secret Santa for Neighborhood Children</t>
  </si>
  <si>
    <t>Total Expense Budget</t>
  </si>
  <si>
    <t>Total Operating</t>
  </si>
  <si>
    <t>Programs</t>
  </si>
  <si>
    <t>Mgt &amp; Administration</t>
  </si>
  <si>
    <t>Fundraising</t>
  </si>
  <si>
    <t>Restricted - 84%</t>
  </si>
  <si>
    <t>Patient Care Fund/Food Pantry</t>
  </si>
  <si>
    <t>Oncology Clinic Renovations</t>
  </si>
  <si>
    <t>Patient Oncology Care</t>
  </si>
  <si>
    <t>FY2018</t>
  </si>
  <si>
    <t>Patient-Centered Care - PCMH/Seniors</t>
  </si>
  <si>
    <t xml:space="preserve">Unrestricted - 16% </t>
  </si>
  <si>
    <t>Employee Support Fund</t>
  </si>
  <si>
    <t>Employee giving funds this account</t>
  </si>
  <si>
    <t>Supporting uninsured and underinsured patient needs</t>
  </si>
  <si>
    <t xml:space="preserve">NGH outreach </t>
  </si>
  <si>
    <t>Employee supported activity</t>
  </si>
  <si>
    <t xml:space="preserve">Budget </t>
  </si>
  <si>
    <t>FY2019</t>
  </si>
  <si>
    <t>change to FlipCause includes database and website</t>
  </si>
  <si>
    <t>FY18</t>
  </si>
  <si>
    <t>Individual &amp; Hospital Employee Giving+ special event</t>
  </si>
  <si>
    <t>% Alloc</t>
  </si>
  <si>
    <t>Nashville General Hospital Foundation - FY2019 Budget</t>
  </si>
  <si>
    <t>infusion services television replacements</t>
  </si>
  <si>
    <t>FT2020</t>
  </si>
  <si>
    <t>ED/Chaplain/Volunteer Coordinator</t>
  </si>
  <si>
    <t>Staff &amp; Benefits for Program Services - inkind</t>
  </si>
  <si>
    <t>Salaries &amp; Benefits inkind</t>
  </si>
  <si>
    <t>Executive Director = 20%</t>
  </si>
  <si>
    <t>Spiritual Care, Volunteer and % of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</si>
</sst>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164" fontId="3" fillId="0" borderId="1" xfId="1" applyNumberFormat="1" applyFont="1" applyBorder="1"/>
    <xf numFmtId="164" fontId="2" fillId="0" borderId="1" xfId="1" applyNumberFormat="1" applyFont="1" applyBorder="1"/>
    <xf numFmtId="164" fontId="3" fillId="0" borderId="1" xfId="1" applyNumberFormat="1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2" fillId="0" borderId="1" xfId="0" applyFont="1" applyFill="1" applyBorder="1"/>
    <xf numFmtId="164" fontId="2" fillId="0" borderId="1" xfId="0" applyNumberFormat="1" applyFont="1" applyBorder="1"/>
    <xf numFmtId="164" fontId="3" fillId="0" borderId="0" xfId="0" applyNumberFormat="1" applyFont="1"/>
    <xf numFmtId="9" fontId="3" fillId="0" borderId="0" xfId="2" applyFont="1"/>
    <xf numFmtId="164" fontId="2" fillId="0" borderId="1" xfId="1" applyNumberFormat="1" applyFont="1" applyFill="1" applyBorder="1"/>
    <xf numFmtId="164" fontId="3" fillId="0" borderId="0" xfId="1" applyNumberFormat="1" applyFont="1"/>
    <xf numFmtId="165" fontId="3" fillId="0" borderId="0" xfId="2" applyNumberFormat="1" applyFont="1"/>
    <xf numFmtId="43" fontId="2" fillId="0" borderId="1" xfId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workbookViewId="0">
      <selection activeCell="L6" sqref="L6"/>
    </sheetView>
  </sheetViews>
  <sheetFormatPr defaultRowHeight="16.5" x14ac:dyDescent="0.3"/>
  <cols>
    <col min="1" max="1" width="41.5703125" style="2" customWidth="1"/>
    <col min="2" max="2" width="11.85546875" style="2" customWidth="1"/>
    <col min="3" max="4" width="8.28515625" style="2" customWidth="1"/>
    <col min="5" max="5" width="9.28515625" style="14" customWidth="1"/>
    <col min="6" max="6" width="11" style="2" hidden="1" customWidth="1"/>
    <col min="7" max="7" width="8.5703125" style="2" hidden="1" customWidth="1"/>
    <col min="8" max="8" width="0" style="2" hidden="1" customWidth="1"/>
    <col min="9" max="9" width="44.140625" style="2" customWidth="1"/>
    <col min="10" max="16384" width="9.140625" style="2"/>
  </cols>
  <sheetData>
    <row r="1" spans="1:9" x14ac:dyDescent="0.3">
      <c r="A1" s="1" t="s">
        <v>73</v>
      </c>
      <c r="B1" s="1"/>
      <c r="C1" s="1"/>
      <c r="D1" s="1"/>
      <c r="E1" s="5"/>
      <c r="F1" s="1"/>
      <c r="G1" s="1"/>
      <c r="H1" s="1"/>
      <c r="I1" s="1"/>
    </row>
    <row r="2" spans="1:9" x14ac:dyDescent="0.3">
      <c r="A2" s="1"/>
      <c r="B2" s="1" t="s">
        <v>25</v>
      </c>
      <c r="C2" s="1" t="s">
        <v>67</v>
      </c>
      <c r="D2" s="1" t="s">
        <v>70</v>
      </c>
      <c r="E2" s="5" t="s">
        <v>25</v>
      </c>
      <c r="F2" s="1" t="s">
        <v>25</v>
      </c>
      <c r="G2" s="1" t="s">
        <v>25</v>
      </c>
      <c r="H2" s="1" t="s">
        <v>26</v>
      </c>
      <c r="I2" s="1" t="s">
        <v>29</v>
      </c>
    </row>
    <row r="3" spans="1:9" x14ac:dyDescent="0.3">
      <c r="A3" s="1"/>
      <c r="B3" s="1" t="s">
        <v>75</v>
      </c>
      <c r="C3" s="1" t="s">
        <v>68</v>
      </c>
      <c r="D3" s="1" t="s">
        <v>26</v>
      </c>
      <c r="E3" s="5" t="s">
        <v>59</v>
      </c>
      <c r="F3" s="1" t="s">
        <v>23</v>
      </c>
      <c r="G3" s="1" t="s">
        <v>24</v>
      </c>
      <c r="H3" s="1" t="s">
        <v>24</v>
      </c>
      <c r="I3" s="1"/>
    </row>
    <row r="4" spans="1:9" x14ac:dyDescent="0.3">
      <c r="A4" s="1" t="s">
        <v>0</v>
      </c>
      <c r="B4" s="1"/>
      <c r="C4" s="5"/>
      <c r="D4" s="5"/>
      <c r="E4" s="5"/>
      <c r="F4" s="4"/>
      <c r="G4" s="3"/>
      <c r="H4" s="3"/>
      <c r="I4" s="3"/>
    </row>
    <row r="5" spans="1:9" x14ac:dyDescent="0.3">
      <c r="A5" s="3" t="s">
        <v>55</v>
      </c>
      <c r="B5" s="3">
        <v>315000</v>
      </c>
      <c r="C5" s="4">
        <v>330000</v>
      </c>
      <c r="D5" s="4">
        <v>167684</v>
      </c>
      <c r="E5" s="4">
        <v>600000</v>
      </c>
      <c r="F5" s="4">
        <v>525000</v>
      </c>
      <c r="G5" s="4">
        <v>69336</v>
      </c>
      <c r="H5" s="4">
        <v>107708</v>
      </c>
      <c r="I5" s="3" t="s">
        <v>39</v>
      </c>
    </row>
    <row r="6" spans="1:9" x14ac:dyDescent="0.3">
      <c r="A6" s="3"/>
      <c r="B6" s="3"/>
      <c r="C6" s="4"/>
      <c r="D6" s="4"/>
      <c r="E6" s="4"/>
      <c r="F6" s="4"/>
      <c r="G6" s="4"/>
      <c r="H6" s="4"/>
      <c r="I6" s="3"/>
    </row>
    <row r="7" spans="1:9" x14ac:dyDescent="0.3">
      <c r="A7" s="3" t="s">
        <v>1</v>
      </c>
      <c r="B7" s="3"/>
      <c r="C7" s="4"/>
      <c r="D7" s="4"/>
      <c r="E7" s="4"/>
      <c r="F7" s="4"/>
      <c r="G7" s="4"/>
      <c r="H7" s="4"/>
      <c r="I7" s="3"/>
    </row>
    <row r="8" spans="1:9" x14ac:dyDescent="0.3">
      <c r="A8" s="3" t="s">
        <v>61</v>
      </c>
      <c r="B8" s="3">
        <v>90000</v>
      </c>
      <c r="C8" s="4">
        <v>125000</v>
      </c>
      <c r="D8" s="4">
        <v>101199</v>
      </c>
      <c r="E8" s="4">
        <f>+(3*25000)+25000+25000</f>
        <v>125000</v>
      </c>
      <c r="F8" s="4">
        <v>100000</v>
      </c>
      <c r="G8" s="4">
        <v>169250</v>
      </c>
      <c r="H8" s="4">
        <v>13209</v>
      </c>
      <c r="I8" s="3" t="s">
        <v>71</v>
      </c>
    </row>
    <row r="9" spans="1:9" x14ac:dyDescent="0.3">
      <c r="A9" s="3" t="s">
        <v>37</v>
      </c>
      <c r="B9" s="3"/>
      <c r="C9" s="4"/>
      <c r="D9" s="4"/>
      <c r="E9" s="4"/>
      <c r="F9" s="4">
        <v>0</v>
      </c>
      <c r="G9" s="4">
        <v>100</v>
      </c>
      <c r="H9" s="4">
        <v>75</v>
      </c>
      <c r="I9" s="3"/>
    </row>
    <row r="10" spans="1:9" x14ac:dyDescent="0.3">
      <c r="A10" s="3" t="s">
        <v>38</v>
      </c>
      <c r="B10" s="3"/>
      <c r="C10" s="4"/>
      <c r="D10" s="4">
        <v>71115</v>
      </c>
      <c r="E10" s="4"/>
      <c r="F10" s="4">
        <v>0</v>
      </c>
      <c r="G10" s="4">
        <v>0</v>
      </c>
      <c r="H10" s="4">
        <v>11544</v>
      </c>
      <c r="I10" s="3"/>
    </row>
    <row r="11" spans="1:9" x14ac:dyDescent="0.3">
      <c r="A11" s="1" t="s">
        <v>2</v>
      </c>
      <c r="B11" s="1">
        <f>SUM(B5:B10)</f>
        <v>405000</v>
      </c>
      <c r="C11" s="5">
        <f>SUM(C5:C10)</f>
        <v>455000</v>
      </c>
      <c r="D11" s="5">
        <f>SUM(D5:D10)</f>
        <v>339998</v>
      </c>
      <c r="E11" s="5">
        <f>SUM(E5:E10)</f>
        <v>725000</v>
      </c>
      <c r="F11" s="5">
        <f>+F5+F8</f>
        <v>625000</v>
      </c>
      <c r="G11" s="5">
        <f>+G5+G8+G9</f>
        <v>238686</v>
      </c>
      <c r="H11" s="5">
        <f>SUM(H5:H10)</f>
        <v>132536</v>
      </c>
      <c r="I11" s="3"/>
    </row>
    <row r="12" spans="1:9" x14ac:dyDescent="0.3">
      <c r="A12" s="3"/>
      <c r="B12" s="3"/>
      <c r="C12" s="4"/>
      <c r="D12" s="4"/>
      <c r="E12" s="4"/>
      <c r="F12" s="4"/>
      <c r="G12" s="4"/>
      <c r="H12" s="4"/>
      <c r="I12" s="3"/>
    </row>
    <row r="13" spans="1:9" x14ac:dyDescent="0.3">
      <c r="A13" s="1" t="s">
        <v>3</v>
      </c>
      <c r="B13" s="1"/>
      <c r="C13" s="5"/>
      <c r="D13" s="5"/>
      <c r="E13" s="5"/>
      <c r="F13" s="4"/>
      <c r="G13" s="4"/>
      <c r="H13" s="4"/>
      <c r="I13" s="3"/>
    </row>
    <row r="14" spans="1:9" x14ac:dyDescent="0.3">
      <c r="A14" s="1" t="s">
        <v>4</v>
      </c>
      <c r="B14" s="1"/>
      <c r="C14" s="5"/>
      <c r="D14" s="5"/>
      <c r="E14" s="5"/>
      <c r="F14" s="4"/>
      <c r="G14" s="4"/>
      <c r="H14" s="4"/>
      <c r="I14" s="3"/>
    </row>
    <row r="15" spans="1:9" x14ac:dyDescent="0.3">
      <c r="A15" s="3" t="s">
        <v>5</v>
      </c>
      <c r="B15" s="3">
        <v>0</v>
      </c>
      <c r="C15" s="4">
        <v>33500</v>
      </c>
      <c r="D15" s="4">
        <v>38269</v>
      </c>
      <c r="E15" s="4">
        <v>45000</v>
      </c>
      <c r="F15" s="4">
        <v>55000</v>
      </c>
      <c r="G15" s="4">
        <v>52500</v>
      </c>
      <c r="H15" s="4">
        <v>34627</v>
      </c>
      <c r="I15" s="3"/>
    </row>
    <row r="16" spans="1:9" x14ac:dyDescent="0.3">
      <c r="A16" s="7" t="s">
        <v>77</v>
      </c>
      <c r="B16" s="7">
        <f>+(0.6*120000)+24000+50000</f>
        <v>146000</v>
      </c>
      <c r="C16" s="6">
        <f>(0.35*(118450*1.35))</f>
        <v>55967.625</v>
      </c>
      <c r="D16" s="6">
        <v>16247</v>
      </c>
      <c r="E16" s="6">
        <f>(0.35*(115000*1.35))</f>
        <v>54337.5</v>
      </c>
      <c r="F16" s="6">
        <f>27148+(0.15*(109000*1.35))</f>
        <v>49220.5</v>
      </c>
      <c r="G16" s="6">
        <v>0</v>
      </c>
      <c r="H16" s="4">
        <v>0</v>
      </c>
      <c r="I16" s="3" t="s">
        <v>80</v>
      </c>
    </row>
    <row r="17" spans="1:9" x14ac:dyDescent="0.3">
      <c r="A17" s="7" t="s">
        <v>60</v>
      </c>
      <c r="B17" s="7">
        <v>45000</v>
      </c>
      <c r="C17" s="6">
        <v>75000</v>
      </c>
      <c r="D17" s="6">
        <v>58118</v>
      </c>
      <c r="E17" s="6">
        <v>100000</v>
      </c>
      <c r="F17" s="6"/>
      <c r="G17" s="6"/>
      <c r="H17" s="4"/>
      <c r="I17" s="3" t="s">
        <v>64</v>
      </c>
    </row>
    <row r="18" spans="1:9" x14ac:dyDescent="0.3">
      <c r="A18" s="7" t="s">
        <v>58</v>
      </c>
      <c r="B18" s="7">
        <v>40000</v>
      </c>
      <c r="C18" s="6">
        <v>40000</v>
      </c>
      <c r="D18" s="6">
        <v>1659</v>
      </c>
      <c r="E18" s="6">
        <v>40000</v>
      </c>
      <c r="F18" s="6">
        <v>40000</v>
      </c>
      <c r="G18" s="6">
        <v>0</v>
      </c>
      <c r="H18" s="4">
        <v>8927</v>
      </c>
      <c r="I18" s="3"/>
    </row>
    <row r="19" spans="1:9" x14ac:dyDescent="0.3">
      <c r="A19" s="7" t="s">
        <v>6</v>
      </c>
      <c r="B19" s="7">
        <v>0</v>
      </c>
      <c r="C19" s="6">
        <v>25000</v>
      </c>
      <c r="D19" s="6">
        <f>25732+22013</f>
        <v>47745</v>
      </c>
      <c r="E19" s="6">
        <v>185000</v>
      </c>
      <c r="F19" s="6">
        <v>100000</v>
      </c>
      <c r="G19" s="6">
        <v>0</v>
      </c>
      <c r="H19" s="4">
        <v>0</v>
      </c>
      <c r="I19" s="3"/>
    </row>
    <row r="20" spans="1:9" x14ac:dyDescent="0.3">
      <c r="A20" s="7" t="s">
        <v>57</v>
      </c>
      <c r="B20" s="7">
        <v>0</v>
      </c>
      <c r="C20" s="6"/>
      <c r="D20" s="6">
        <v>8945</v>
      </c>
      <c r="E20" s="6"/>
      <c r="F20" s="6">
        <v>15000</v>
      </c>
      <c r="G20" s="6">
        <v>0</v>
      </c>
      <c r="H20" s="4">
        <v>7723</v>
      </c>
      <c r="I20" s="3" t="s">
        <v>74</v>
      </c>
    </row>
    <row r="21" spans="1:9" x14ac:dyDescent="0.3">
      <c r="A21" s="7" t="s">
        <v>62</v>
      </c>
      <c r="B21" s="7">
        <v>12000</v>
      </c>
      <c r="C21" s="6">
        <f>40000*0.4</f>
        <v>16000</v>
      </c>
      <c r="D21" s="6">
        <v>1823</v>
      </c>
      <c r="E21" s="6">
        <v>25000</v>
      </c>
      <c r="F21" s="6">
        <v>25000</v>
      </c>
      <c r="G21" s="6">
        <v>0</v>
      </c>
      <c r="H21" s="4">
        <v>2200</v>
      </c>
      <c r="I21" s="3" t="s">
        <v>63</v>
      </c>
    </row>
    <row r="22" spans="1:9" x14ac:dyDescent="0.3">
      <c r="A22" s="7" t="s">
        <v>56</v>
      </c>
      <c r="B22" s="7">
        <v>60000</v>
      </c>
      <c r="C22" s="6">
        <f>20000+20000</f>
        <v>40000</v>
      </c>
      <c r="D22" s="6">
        <v>6115</v>
      </c>
      <c r="E22" s="6">
        <v>50000</v>
      </c>
      <c r="F22" s="6">
        <v>85000</v>
      </c>
      <c r="G22" s="6">
        <v>0</v>
      </c>
      <c r="H22" s="4">
        <v>0</v>
      </c>
      <c r="I22" s="3"/>
    </row>
    <row r="23" spans="1:9" x14ac:dyDescent="0.3">
      <c r="A23" s="7" t="s">
        <v>45</v>
      </c>
      <c r="B23" s="7">
        <v>15000</v>
      </c>
      <c r="C23" s="6">
        <v>0</v>
      </c>
      <c r="D23" s="6"/>
      <c r="E23" s="6">
        <v>15000</v>
      </c>
      <c r="F23" s="6">
        <v>25000</v>
      </c>
      <c r="G23" s="6">
        <v>0</v>
      </c>
      <c r="H23" s="4">
        <v>0</v>
      </c>
      <c r="I23" s="3"/>
    </row>
    <row r="24" spans="1:9" x14ac:dyDescent="0.3">
      <c r="A24" s="7" t="s">
        <v>7</v>
      </c>
      <c r="B24" s="7">
        <v>2500</v>
      </c>
      <c r="C24" s="6">
        <v>2500</v>
      </c>
      <c r="D24" s="6"/>
      <c r="E24" s="6">
        <v>3000</v>
      </c>
      <c r="F24" s="6">
        <v>5000</v>
      </c>
      <c r="G24" s="6">
        <v>0</v>
      </c>
      <c r="H24" s="4">
        <v>4200</v>
      </c>
      <c r="I24" s="3" t="s">
        <v>65</v>
      </c>
    </row>
    <row r="25" spans="1:9" x14ac:dyDescent="0.3">
      <c r="A25" s="7" t="s">
        <v>49</v>
      </c>
      <c r="B25" s="7">
        <v>2500</v>
      </c>
      <c r="C25" s="6">
        <v>2500</v>
      </c>
      <c r="D25" s="6"/>
      <c r="E25" s="6">
        <v>3000</v>
      </c>
      <c r="F25" s="6">
        <v>3000</v>
      </c>
      <c r="G25" s="6"/>
      <c r="H25" s="4"/>
      <c r="I25" s="3" t="s">
        <v>66</v>
      </c>
    </row>
    <row r="26" spans="1:9" s="8" customFormat="1" x14ac:dyDescent="0.3">
      <c r="A26" s="7" t="s">
        <v>46</v>
      </c>
      <c r="B26" s="7">
        <v>10000</v>
      </c>
      <c r="C26" s="6">
        <v>10000</v>
      </c>
      <c r="D26" s="6"/>
      <c r="E26" s="6">
        <v>20000</v>
      </c>
      <c r="F26" s="6">
        <v>25000</v>
      </c>
      <c r="G26" s="6"/>
      <c r="H26" s="6"/>
      <c r="I26" s="7"/>
    </row>
    <row r="27" spans="1:9" x14ac:dyDescent="0.3">
      <c r="A27" s="9" t="s">
        <v>30</v>
      </c>
      <c r="B27" s="9">
        <f>SUM(B14:B26)</f>
        <v>333000</v>
      </c>
      <c r="C27" s="13">
        <f t="shared" ref="C27:H27" si="0">SUM(C15:C26)</f>
        <v>300467.625</v>
      </c>
      <c r="D27" s="13">
        <f t="shared" si="0"/>
        <v>178921</v>
      </c>
      <c r="E27" s="13">
        <f t="shared" si="0"/>
        <v>540337.5</v>
      </c>
      <c r="F27" s="5">
        <f t="shared" si="0"/>
        <v>427220.5</v>
      </c>
      <c r="G27" s="5">
        <f t="shared" si="0"/>
        <v>52500</v>
      </c>
      <c r="H27" s="5">
        <f t="shared" si="0"/>
        <v>57677</v>
      </c>
      <c r="I27" s="3"/>
    </row>
    <row r="28" spans="1:9" x14ac:dyDescent="0.3">
      <c r="A28" s="9" t="s">
        <v>8</v>
      </c>
      <c r="B28" s="9"/>
      <c r="C28" s="13"/>
      <c r="D28" s="13"/>
      <c r="E28" s="5"/>
      <c r="F28" s="4"/>
      <c r="G28" s="4"/>
      <c r="H28" s="4"/>
      <c r="I28" s="3"/>
    </row>
    <row r="29" spans="1:9" x14ac:dyDescent="0.3">
      <c r="A29" s="7" t="s">
        <v>78</v>
      </c>
      <c r="B29" s="7">
        <f>0.2*120000</f>
        <v>24000</v>
      </c>
      <c r="C29" s="4">
        <f>0.25*(118450*1.35)</f>
        <v>39976.875</v>
      </c>
      <c r="D29" s="4">
        <f>11874+6166</f>
        <v>18040</v>
      </c>
      <c r="E29" s="4">
        <f>0.25*(115000*1.35)</f>
        <v>38812.5</v>
      </c>
      <c r="F29" s="4">
        <f>0.25*(109000*1.35)</f>
        <v>36787.5</v>
      </c>
      <c r="G29" s="4">
        <v>0</v>
      </c>
      <c r="H29" s="4">
        <f>2905+25264</f>
        <v>28169</v>
      </c>
      <c r="I29" s="3" t="s">
        <v>79</v>
      </c>
    </row>
    <row r="30" spans="1:9" x14ac:dyDescent="0.3">
      <c r="A30" s="3" t="s">
        <v>9</v>
      </c>
      <c r="B30" s="3">
        <v>1200</v>
      </c>
      <c r="C30" s="4">
        <v>800</v>
      </c>
      <c r="D30" s="4">
        <v>730</v>
      </c>
      <c r="E30" s="4">
        <v>800</v>
      </c>
      <c r="F30" s="4">
        <v>400</v>
      </c>
      <c r="G30" s="4">
        <v>300</v>
      </c>
      <c r="H30" s="4">
        <v>142</v>
      </c>
      <c r="I30" s="3"/>
    </row>
    <row r="31" spans="1:9" x14ac:dyDescent="0.3">
      <c r="A31" s="3" t="s">
        <v>10</v>
      </c>
      <c r="B31" s="3">
        <v>500</v>
      </c>
      <c r="C31" s="4">
        <v>500</v>
      </c>
      <c r="D31" s="4">
        <v>285</v>
      </c>
      <c r="E31" s="4">
        <v>500</v>
      </c>
      <c r="F31" s="4">
        <v>1000</v>
      </c>
      <c r="G31" s="4">
        <v>1000</v>
      </c>
      <c r="H31" s="4">
        <v>96</v>
      </c>
      <c r="I31" s="3"/>
    </row>
    <row r="32" spans="1:9" x14ac:dyDescent="0.3">
      <c r="A32" s="3" t="s">
        <v>11</v>
      </c>
      <c r="B32" s="3">
        <v>750</v>
      </c>
      <c r="C32" s="4">
        <v>750</v>
      </c>
      <c r="D32" s="4">
        <v>0</v>
      </c>
      <c r="E32" s="4">
        <v>750</v>
      </c>
      <c r="F32" s="4">
        <f>0.5*1500</f>
        <v>750</v>
      </c>
      <c r="G32" s="4">
        <v>250</v>
      </c>
      <c r="H32" s="4">
        <v>2000</v>
      </c>
      <c r="I32" s="3" t="s">
        <v>32</v>
      </c>
    </row>
    <row r="33" spans="1:9" x14ac:dyDescent="0.3">
      <c r="A33" s="3" t="s">
        <v>12</v>
      </c>
      <c r="B33" s="3">
        <v>400</v>
      </c>
      <c r="C33" s="4">
        <v>350</v>
      </c>
      <c r="D33" s="4">
        <v>16</v>
      </c>
      <c r="E33" s="4">
        <v>350</v>
      </c>
      <c r="F33" s="4">
        <v>350</v>
      </c>
      <c r="G33" s="4">
        <v>500</v>
      </c>
      <c r="H33" s="4">
        <v>0</v>
      </c>
      <c r="I33" s="3"/>
    </row>
    <row r="34" spans="1:9" x14ac:dyDescent="0.3">
      <c r="A34" s="3" t="s">
        <v>27</v>
      </c>
      <c r="B34" s="3">
        <v>750</v>
      </c>
      <c r="C34" s="4">
        <v>750</v>
      </c>
      <c r="D34" s="4">
        <v>1118</v>
      </c>
      <c r="E34" s="4">
        <v>750</v>
      </c>
      <c r="F34" s="4">
        <v>750</v>
      </c>
      <c r="G34" s="4">
        <v>750</v>
      </c>
      <c r="H34" s="4">
        <v>272</v>
      </c>
      <c r="I34" s="3"/>
    </row>
    <row r="35" spans="1:9" x14ac:dyDescent="0.3">
      <c r="A35" s="3" t="s">
        <v>42</v>
      </c>
      <c r="B35" s="3">
        <v>400</v>
      </c>
      <c r="C35" s="4">
        <v>400</v>
      </c>
      <c r="D35" s="4"/>
      <c r="E35" s="4">
        <v>800</v>
      </c>
      <c r="F35" s="4">
        <v>1250</v>
      </c>
      <c r="G35" s="4">
        <v>1250</v>
      </c>
      <c r="H35" s="4">
        <v>412</v>
      </c>
      <c r="I35" s="3" t="s">
        <v>43</v>
      </c>
    </row>
    <row r="36" spans="1:9" x14ac:dyDescent="0.3">
      <c r="A36" s="3" t="s">
        <v>13</v>
      </c>
      <c r="B36" s="3">
        <v>6500</v>
      </c>
      <c r="C36" s="4">
        <v>6000</v>
      </c>
      <c r="D36" s="4">
        <v>5700</v>
      </c>
      <c r="E36" s="4">
        <v>5800</v>
      </c>
      <c r="F36" s="4">
        <v>5600</v>
      </c>
      <c r="G36" s="4">
        <v>4950</v>
      </c>
      <c r="H36" s="4">
        <v>5500</v>
      </c>
      <c r="I36" s="3"/>
    </row>
    <row r="37" spans="1:9" x14ac:dyDescent="0.3">
      <c r="A37" s="3" t="s">
        <v>14</v>
      </c>
      <c r="B37" s="3">
        <v>1300</v>
      </c>
      <c r="C37" s="4">
        <v>1300</v>
      </c>
      <c r="D37" s="4">
        <v>1222</v>
      </c>
      <c r="E37" s="4">
        <v>1300</v>
      </c>
      <c r="F37" s="4">
        <v>1300</v>
      </c>
      <c r="G37" s="4">
        <v>1100</v>
      </c>
      <c r="H37" s="4">
        <v>1222</v>
      </c>
      <c r="I37" s="3"/>
    </row>
    <row r="38" spans="1:9" x14ac:dyDescent="0.3">
      <c r="A38" s="3" t="s">
        <v>15</v>
      </c>
      <c r="B38" s="3">
        <v>600</v>
      </c>
      <c r="C38" s="4">
        <v>600</v>
      </c>
      <c r="D38" s="4">
        <v>576</v>
      </c>
      <c r="E38" s="4">
        <v>400</v>
      </c>
      <c r="F38" s="4">
        <v>400</v>
      </c>
      <c r="G38" s="4">
        <v>400</v>
      </c>
      <c r="H38" s="4">
        <v>400</v>
      </c>
      <c r="I38" s="3"/>
    </row>
    <row r="39" spans="1:9" x14ac:dyDescent="0.3">
      <c r="A39" s="3" t="s">
        <v>16</v>
      </c>
      <c r="B39" s="3">
        <v>500</v>
      </c>
      <c r="C39" s="4">
        <v>500</v>
      </c>
      <c r="D39" s="4"/>
      <c r="E39" s="4">
        <v>500</v>
      </c>
      <c r="F39" s="4">
        <v>500</v>
      </c>
      <c r="G39" s="4">
        <v>400</v>
      </c>
      <c r="H39" s="4">
        <v>274</v>
      </c>
      <c r="I39" s="3" t="s">
        <v>44</v>
      </c>
    </row>
    <row r="40" spans="1:9" x14ac:dyDescent="0.3">
      <c r="A40" s="3" t="s">
        <v>28</v>
      </c>
      <c r="B40" s="3">
        <v>150</v>
      </c>
      <c r="C40" s="4">
        <v>200</v>
      </c>
      <c r="D40" s="4"/>
      <c r="E40" s="4">
        <v>200</v>
      </c>
      <c r="F40" s="4">
        <v>600</v>
      </c>
      <c r="G40" s="4">
        <v>0</v>
      </c>
      <c r="H40" s="4">
        <v>3075</v>
      </c>
      <c r="I40" s="3" t="s">
        <v>47</v>
      </c>
    </row>
    <row r="41" spans="1:9" x14ac:dyDescent="0.3">
      <c r="A41" s="3" t="s">
        <v>17</v>
      </c>
      <c r="B41" s="3">
        <v>200</v>
      </c>
      <c r="C41" s="4">
        <v>200</v>
      </c>
      <c r="D41" s="4">
        <v>795</v>
      </c>
      <c r="E41" s="4">
        <v>200</v>
      </c>
      <c r="F41" s="4">
        <v>200</v>
      </c>
      <c r="G41" s="4">
        <v>200</v>
      </c>
      <c r="H41" s="4">
        <v>0</v>
      </c>
      <c r="I41" s="3"/>
    </row>
    <row r="42" spans="1:9" x14ac:dyDescent="0.3">
      <c r="A42" s="3" t="s">
        <v>40</v>
      </c>
      <c r="B42" s="3"/>
      <c r="C42" s="4"/>
      <c r="D42" s="4"/>
      <c r="E42" s="4"/>
      <c r="F42" s="4"/>
      <c r="G42" s="4"/>
      <c r="H42" s="4">
        <v>11544</v>
      </c>
      <c r="I42" s="3" t="s">
        <v>76</v>
      </c>
    </row>
    <row r="43" spans="1:9" x14ac:dyDescent="0.3">
      <c r="A43" s="3" t="s">
        <v>18</v>
      </c>
      <c r="B43" s="3"/>
      <c r="C43" s="4">
        <v>150</v>
      </c>
      <c r="D43" s="4"/>
      <c r="E43" s="4">
        <v>150</v>
      </c>
      <c r="F43" s="4">
        <v>150</v>
      </c>
      <c r="G43" s="4">
        <v>100</v>
      </c>
      <c r="H43" s="4">
        <v>0</v>
      </c>
      <c r="I43" s="3"/>
    </row>
    <row r="44" spans="1:9" x14ac:dyDescent="0.3">
      <c r="A44" s="1" t="s">
        <v>31</v>
      </c>
      <c r="B44" s="1">
        <f>SUM(B29:B43)</f>
        <v>37250</v>
      </c>
      <c r="C44" s="5">
        <f t="shared" ref="C44:H44" si="1">SUM(C29:C43)</f>
        <v>52476.875</v>
      </c>
      <c r="D44" s="5">
        <f t="shared" si="1"/>
        <v>28482</v>
      </c>
      <c r="E44" s="5">
        <f t="shared" si="1"/>
        <v>51312.5</v>
      </c>
      <c r="F44" s="5">
        <f t="shared" si="1"/>
        <v>50037.5</v>
      </c>
      <c r="G44" s="5">
        <f t="shared" si="1"/>
        <v>11200</v>
      </c>
      <c r="H44" s="5">
        <f t="shared" si="1"/>
        <v>53106</v>
      </c>
      <c r="I44" s="3"/>
    </row>
    <row r="45" spans="1:9" x14ac:dyDescent="0.3">
      <c r="A45" s="3"/>
      <c r="B45" s="3"/>
      <c r="C45" s="4"/>
      <c r="D45" s="4"/>
      <c r="E45" s="4"/>
      <c r="F45" s="4"/>
      <c r="G45" s="4"/>
      <c r="H45" s="4"/>
      <c r="I45" s="3"/>
    </row>
    <row r="46" spans="1:9" x14ac:dyDescent="0.3">
      <c r="A46" s="1" t="s">
        <v>19</v>
      </c>
      <c r="B46" s="1"/>
      <c r="C46" s="5"/>
      <c r="D46" s="5"/>
      <c r="E46" s="5"/>
      <c r="F46" s="4"/>
      <c r="G46" s="4"/>
      <c r="H46" s="4"/>
      <c r="I46" s="3"/>
    </row>
    <row r="47" spans="1:9" x14ac:dyDescent="0.3">
      <c r="A47" s="3" t="s">
        <v>48</v>
      </c>
      <c r="B47" s="3">
        <f>0.2*120000</f>
        <v>24000</v>
      </c>
      <c r="C47" s="4">
        <f>0.5*(118450*1.35)</f>
        <v>79953.75</v>
      </c>
      <c r="D47" s="4">
        <v>51431</v>
      </c>
      <c r="E47" s="4">
        <f>0.5*(115000*1.35)</f>
        <v>77625</v>
      </c>
      <c r="F47" s="4">
        <f>0.6*(109000*1.35)</f>
        <v>88290</v>
      </c>
      <c r="G47" s="4">
        <v>0</v>
      </c>
      <c r="H47" s="4">
        <v>0</v>
      </c>
      <c r="I47" s="3"/>
    </row>
    <row r="48" spans="1:9" x14ac:dyDescent="0.3">
      <c r="A48" s="3">
        <v>50</v>
      </c>
      <c r="B48" s="3"/>
      <c r="C48" s="4"/>
      <c r="D48" s="4"/>
      <c r="E48" s="4">
        <v>500</v>
      </c>
      <c r="F48" s="4">
        <v>1000</v>
      </c>
      <c r="G48" s="4">
        <v>600</v>
      </c>
      <c r="H48" s="4">
        <v>0</v>
      </c>
      <c r="I48" s="3"/>
    </row>
    <row r="49" spans="1:9" x14ac:dyDescent="0.3">
      <c r="A49" s="3" t="s">
        <v>20</v>
      </c>
      <c r="B49" s="3">
        <v>1800</v>
      </c>
      <c r="C49" s="4">
        <v>1800</v>
      </c>
      <c r="D49" s="4">
        <v>1840</v>
      </c>
      <c r="E49" s="4">
        <f>2700+200</f>
        <v>2900</v>
      </c>
      <c r="F49" s="4">
        <v>4300</v>
      </c>
      <c r="G49" s="4">
        <v>100</v>
      </c>
      <c r="H49" s="4">
        <v>4198</v>
      </c>
      <c r="I49" s="3" t="s">
        <v>69</v>
      </c>
    </row>
    <row r="50" spans="1:9" x14ac:dyDescent="0.3">
      <c r="A50" s="3" t="s">
        <v>16</v>
      </c>
      <c r="B50" s="3">
        <v>1000</v>
      </c>
      <c r="C50" s="4">
        <v>2500</v>
      </c>
      <c r="D50" s="4">
        <v>373</v>
      </c>
      <c r="E50" s="4">
        <v>5000</v>
      </c>
      <c r="F50" s="4">
        <f>4*(500*3)+400*6</f>
        <v>8400</v>
      </c>
      <c r="G50" s="4"/>
      <c r="H50" s="4"/>
      <c r="I50" s="3" t="s">
        <v>41</v>
      </c>
    </row>
    <row r="51" spans="1:9" x14ac:dyDescent="0.3">
      <c r="A51" s="3" t="s">
        <v>21</v>
      </c>
      <c r="B51" s="3">
        <v>1000</v>
      </c>
      <c r="C51" s="4">
        <v>2500</v>
      </c>
      <c r="D51" s="4"/>
      <c r="E51" s="4">
        <v>3020</v>
      </c>
      <c r="F51" s="4">
        <f>4*(500*1.25)+800*0.65</f>
        <v>3020</v>
      </c>
      <c r="G51" s="4"/>
      <c r="H51" s="4"/>
      <c r="I51" s="3" t="s">
        <v>33</v>
      </c>
    </row>
    <row r="52" spans="1:9" x14ac:dyDescent="0.3">
      <c r="A52" s="3" t="s">
        <v>22</v>
      </c>
      <c r="B52" s="3">
        <f>4000+1000+500+500</f>
        <v>6000</v>
      </c>
      <c r="C52" s="4">
        <v>15000</v>
      </c>
      <c r="D52" s="4">
        <f>514+6036+223+850+2043+729</f>
        <v>10395</v>
      </c>
      <c r="E52" s="4">
        <v>35000</v>
      </c>
      <c r="F52" s="4" t="s">
        <v>34</v>
      </c>
      <c r="G52" s="4"/>
      <c r="H52" s="4"/>
      <c r="I52" s="3"/>
    </row>
    <row r="53" spans="1:9" x14ac:dyDescent="0.3">
      <c r="A53" s="1" t="s">
        <v>35</v>
      </c>
      <c r="B53" s="16">
        <f>SUM(B47:B52)</f>
        <v>33800</v>
      </c>
      <c r="C53" s="5">
        <f>SUM(C47:C52)</f>
        <v>101753.75</v>
      </c>
      <c r="D53" s="5">
        <f>SUM(D47:D52)</f>
        <v>64039</v>
      </c>
      <c r="E53" s="5">
        <f>SUM(E47:E52)</f>
        <v>124045</v>
      </c>
      <c r="F53" s="5">
        <f>SUM(F47:F52)</f>
        <v>105010</v>
      </c>
      <c r="G53" s="10">
        <f>SUM(G48:G52)</f>
        <v>700</v>
      </c>
      <c r="H53" s="10">
        <f>SUM(H48:H52)</f>
        <v>4198</v>
      </c>
      <c r="I53" s="3"/>
    </row>
    <row r="54" spans="1:9" x14ac:dyDescent="0.3">
      <c r="A54" s="3" t="s">
        <v>50</v>
      </c>
      <c r="B54" s="4">
        <f>+B53+B44+B27</f>
        <v>404050</v>
      </c>
      <c r="C54" s="4">
        <f>+C53+C44+C27</f>
        <v>454698.25</v>
      </c>
      <c r="D54" s="4">
        <f>+D53+D44+D27</f>
        <v>271442</v>
      </c>
      <c r="E54" s="4">
        <f>+E53+E44+E27</f>
        <v>715695</v>
      </c>
      <c r="F54" s="4">
        <f>+F53+F44+F27</f>
        <v>582268</v>
      </c>
      <c r="G54" s="3"/>
      <c r="H54" s="3"/>
      <c r="I54" s="3"/>
    </row>
    <row r="55" spans="1:9" x14ac:dyDescent="0.3">
      <c r="A55" s="1" t="s">
        <v>36</v>
      </c>
      <c r="B55" s="5">
        <f>+B11-B54</f>
        <v>950</v>
      </c>
      <c r="C55" s="5">
        <f>+C11-C54</f>
        <v>301.75</v>
      </c>
      <c r="D55" s="5">
        <f>+D11-D54-D10</f>
        <v>-2559</v>
      </c>
      <c r="E55" s="5">
        <f>+E11-(+E53+E44+E27)</f>
        <v>9305</v>
      </c>
      <c r="F55" s="5">
        <f>+F11-(+F53+F44+F27)</f>
        <v>42732</v>
      </c>
      <c r="G55" s="10">
        <f>+G11-(+G53+G44+G27)</f>
        <v>174286</v>
      </c>
      <c r="H55" s="10">
        <f>+H11-(+H53+H44+H27)</f>
        <v>17555</v>
      </c>
      <c r="I55" s="3"/>
    </row>
    <row r="56" spans="1:9" x14ac:dyDescent="0.3">
      <c r="C56" s="14"/>
      <c r="D56" s="14"/>
      <c r="F56" s="14"/>
    </row>
    <row r="57" spans="1:9" x14ac:dyDescent="0.3">
      <c r="A57" s="2" t="s">
        <v>51</v>
      </c>
      <c r="C57" s="2" t="s">
        <v>72</v>
      </c>
      <c r="D57" s="11"/>
      <c r="F57" s="11"/>
    </row>
    <row r="58" spans="1:9" x14ac:dyDescent="0.3">
      <c r="A58" s="2" t="s">
        <v>52</v>
      </c>
      <c r="B58" s="2">
        <v>343000</v>
      </c>
      <c r="C58" s="12">
        <f>+B58/B54</f>
        <v>0.84890483851008536</v>
      </c>
      <c r="D58" s="11"/>
      <c r="F58" s="11"/>
      <c r="G58" s="15"/>
    </row>
    <row r="59" spans="1:9" x14ac:dyDescent="0.3">
      <c r="A59" s="2" t="s">
        <v>53</v>
      </c>
      <c r="B59" s="2">
        <v>37250</v>
      </c>
      <c r="C59" s="12">
        <f>+B59/B54</f>
        <v>9.2191560450439303E-2</v>
      </c>
      <c r="D59" s="11"/>
      <c r="F59" s="11"/>
      <c r="G59" s="12"/>
    </row>
    <row r="60" spans="1:9" x14ac:dyDescent="0.3">
      <c r="A60" s="2" t="s">
        <v>54</v>
      </c>
      <c r="B60" s="2">
        <v>33800</v>
      </c>
      <c r="C60" s="12">
        <f>+B60/B54</f>
        <v>8.3653013240935534E-2</v>
      </c>
      <c r="D60" s="11"/>
      <c r="F60" s="11"/>
      <c r="G60" s="12"/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Rose, Vernon</dc:creator>
  <cp:lastModifiedBy>Rose, Vernon</cp:lastModifiedBy>
  <cp:lastPrinted>2018-07-18T16:21:36Z</cp:lastPrinted>
  <dcterms:created xsi:type="dcterms:W3CDTF">2016-07-14T19:57:07Z</dcterms:created>
  <dcterms:modified xsi:type="dcterms:W3CDTF">2019-09-03T17:09:10Z</dcterms:modified>
</cp:coreProperties>
</file>