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G:\TTV\Sept 2020 Board Meeting\"/>
    </mc:Choice>
  </mc:AlternateContent>
  <bookViews>
    <workbookView xWindow="0" yWindow="0" windowWidth="16000" windowHeight="6090" activeTab="3"/>
  </bookViews>
  <sheets>
    <sheet name="2021 Budget" sheetId="1" r:id="rId1"/>
    <sheet name="Bud Detail" sheetId="3" r:id="rId2"/>
    <sheet name="Bank Fcast" sheetId="2" r:id="rId3"/>
    <sheet name="Budget Revised" sheetId="4" r:id="rId4"/>
  </sheets>
  <externalReferences>
    <externalReference r:id="rId5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93" i="4" l="1"/>
  <c r="Q27" i="4"/>
  <c r="P27" i="4"/>
  <c r="U36" i="4" l="1"/>
  <c r="J94" i="4" l="1"/>
  <c r="I94" i="4"/>
  <c r="I93" i="4"/>
  <c r="J60" i="4" l="1"/>
  <c r="U63" i="4"/>
  <c r="U27" i="4"/>
  <c r="O27" i="4"/>
  <c r="T25" i="4"/>
  <c r="S25" i="4"/>
  <c r="R25" i="4"/>
  <c r="Q25" i="4"/>
  <c r="P25" i="4"/>
  <c r="O25" i="4"/>
  <c r="N25" i="4"/>
  <c r="U89" i="4" l="1"/>
  <c r="R88" i="4"/>
  <c r="Q88" i="4"/>
  <c r="P88" i="4"/>
  <c r="O88" i="4"/>
  <c r="N88" i="4"/>
  <c r="M88" i="4"/>
  <c r="L88" i="4"/>
  <c r="U91" i="4"/>
  <c r="U88" i="4" l="1"/>
  <c r="G25" i="2" l="1"/>
  <c r="Q6" i="4" l="1"/>
  <c r="U8" i="4"/>
  <c r="Q9" i="4"/>
  <c r="P9" i="4"/>
  <c r="P10" i="4" s="1"/>
  <c r="O9" i="4"/>
  <c r="R78" i="4"/>
  <c r="Q78" i="4"/>
  <c r="P78" i="4"/>
  <c r="O78" i="4"/>
  <c r="N78" i="4"/>
  <c r="M78" i="4"/>
  <c r="L78" i="4"/>
  <c r="T66" i="4"/>
  <c r="T68" i="4" s="1"/>
  <c r="S66" i="4"/>
  <c r="S68" i="4" s="1"/>
  <c r="R66" i="4"/>
  <c r="R68" i="4" s="1"/>
  <c r="Q66" i="4"/>
  <c r="Q68" i="4" s="1"/>
  <c r="P66" i="4"/>
  <c r="P68" i="4" s="1"/>
  <c r="O66" i="4"/>
  <c r="O68" i="4" s="1"/>
  <c r="N66" i="4"/>
  <c r="N68" i="4" s="1"/>
  <c r="M66" i="4"/>
  <c r="M68" i="4" s="1"/>
  <c r="T59" i="4"/>
  <c r="S59" i="4"/>
  <c r="R59" i="4"/>
  <c r="Q59" i="4"/>
  <c r="P59" i="4"/>
  <c r="O59" i="4"/>
  <c r="N59" i="4"/>
  <c r="M59" i="4"/>
  <c r="L66" i="4"/>
  <c r="L68" i="4" s="1"/>
  <c r="L59" i="4"/>
  <c r="U56" i="4"/>
  <c r="U55" i="4"/>
  <c r="U54" i="4"/>
  <c r="U50" i="4"/>
  <c r="T48" i="4"/>
  <c r="S48" i="4"/>
  <c r="R48" i="4"/>
  <c r="Q48" i="4"/>
  <c r="P48" i="4"/>
  <c r="O48" i="4"/>
  <c r="N48" i="4"/>
  <c r="M48" i="4"/>
  <c r="L48" i="4"/>
  <c r="T38" i="4"/>
  <c r="S38" i="4"/>
  <c r="R38" i="4"/>
  <c r="Q38" i="4"/>
  <c r="P38" i="4"/>
  <c r="O38" i="4"/>
  <c r="N38" i="4"/>
  <c r="M38" i="4"/>
  <c r="L38" i="4"/>
  <c r="T28" i="4"/>
  <c r="T30" i="4" s="1"/>
  <c r="S28" i="4"/>
  <c r="S30" i="4" s="1"/>
  <c r="R28" i="4"/>
  <c r="R30" i="4" s="1"/>
  <c r="Q28" i="4"/>
  <c r="Q30" i="4" s="1"/>
  <c r="P28" i="4"/>
  <c r="P30" i="4" s="1"/>
  <c r="O28" i="4"/>
  <c r="O30" i="4" s="1"/>
  <c r="N28" i="4"/>
  <c r="N30" i="4" s="1"/>
  <c r="M28" i="4"/>
  <c r="M30" i="4" s="1"/>
  <c r="L28" i="4"/>
  <c r="L30" i="4" s="1"/>
  <c r="U23" i="4"/>
  <c r="L60" i="4" l="1"/>
  <c r="U9" i="4"/>
  <c r="Q10" i="4"/>
  <c r="U78" i="4"/>
  <c r="J80" i="4"/>
  <c r="I80" i="4"/>
  <c r="T6" i="4" l="1"/>
  <c r="S6" i="4"/>
  <c r="R6" i="4"/>
  <c r="Q11" i="4"/>
  <c r="P11" i="4"/>
  <c r="O6" i="4"/>
  <c r="N6" i="4"/>
  <c r="N10" i="4" s="1"/>
  <c r="N11" i="4" s="1"/>
  <c r="M6" i="4"/>
  <c r="L10" i="4"/>
  <c r="L11" i="4" s="1"/>
  <c r="L92" i="4" s="1"/>
  <c r="U67" i="4"/>
  <c r="K66" i="4"/>
  <c r="K68" i="4" s="1"/>
  <c r="J66" i="4"/>
  <c r="I66" i="4"/>
  <c r="I68" i="4" s="1"/>
  <c r="U65" i="4"/>
  <c r="U64" i="4"/>
  <c r="K59" i="4"/>
  <c r="K60" i="4" s="1"/>
  <c r="J59" i="4"/>
  <c r="I59" i="4"/>
  <c r="U58" i="4"/>
  <c r="U57" i="4"/>
  <c r="U49" i="4"/>
  <c r="J48" i="4"/>
  <c r="I48" i="4"/>
  <c r="K47" i="4"/>
  <c r="U47" i="4" s="1"/>
  <c r="U46" i="4"/>
  <c r="U45" i="4"/>
  <c r="U44" i="4"/>
  <c r="U43" i="4"/>
  <c r="U42" i="4"/>
  <c r="U41" i="4"/>
  <c r="U40" i="4"/>
  <c r="U39" i="4"/>
  <c r="K38" i="4"/>
  <c r="J38" i="4"/>
  <c r="I38" i="4"/>
  <c r="U37" i="4"/>
  <c r="U35" i="4"/>
  <c r="U34" i="4"/>
  <c r="U33" i="4"/>
  <c r="U31" i="4"/>
  <c r="K30" i="4"/>
  <c r="J30" i="4"/>
  <c r="I30" i="4"/>
  <c r="U29" i="4"/>
  <c r="U28" i="4"/>
  <c r="U26" i="4"/>
  <c r="U25" i="4"/>
  <c r="U24" i="4"/>
  <c r="K16" i="4"/>
  <c r="J16" i="4"/>
  <c r="J17" i="4" s="1"/>
  <c r="E36" i="2" s="1"/>
  <c r="I16" i="4"/>
  <c r="U15" i="4"/>
  <c r="K10" i="4"/>
  <c r="K11" i="4" s="1"/>
  <c r="J10" i="4"/>
  <c r="J11" i="4" s="1"/>
  <c r="J92" i="4" s="1"/>
  <c r="I10" i="4"/>
  <c r="I11" i="4" s="1"/>
  <c r="D30" i="2" l="1"/>
  <c r="I92" i="4"/>
  <c r="I30" i="2"/>
  <c r="N92" i="4"/>
  <c r="L30" i="2"/>
  <c r="Q92" i="4"/>
  <c r="F30" i="2"/>
  <c r="K92" i="4"/>
  <c r="K30" i="2"/>
  <c r="P92" i="4"/>
  <c r="R10" i="4"/>
  <c r="R11" i="4" s="1"/>
  <c r="J18" i="4"/>
  <c r="J19" i="4" s="1"/>
  <c r="E30" i="2"/>
  <c r="O10" i="4"/>
  <c r="O11" i="4" s="1"/>
  <c r="S10" i="4"/>
  <c r="L32" i="4"/>
  <c r="L69" i="4" s="1"/>
  <c r="G30" i="2"/>
  <c r="T10" i="4"/>
  <c r="T11" i="4" s="1"/>
  <c r="T92" i="4" s="1"/>
  <c r="Q14" i="4"/>
  <c r="Q16" i="4" s="1"/>
  <c r="Q32" i="4"/>
  <c r="Q60" i="4" s="1"/>
  <c r="N14" i="4"/>
  <c r="N16" i="4" s="1"/>
  <c r="N32" i="4"/>
  <c r="N60" i="4" s="1"/>
  <c r="P14" i="4"/>
  <c r="P16" i="4" s="1"/>
  <c r="P32" i="4"/>
  <c r="P60" i="4" s="1"/>
  <c r="L14" i="4"/>
  <c r="U6" i="4"/>
  <c r="M10" i="4"/>
  <c r="M11" i="4" s="1"/>
  <c r="M92" i="4" s="1"/>
  <c r="K17" i="4"/>
  <c r="F36" i="2" s="1"/>
  <c r="K77" i="4"/>
  <c r="U59" i="4"/>
  <c r="U38" i="4"/>
  <c r="U66" i="4"/>
  <c r="U30" i="4"/>
  <c r="K48" i="4"/>
  <c r="I69" i="4"/>
  <c r="D31" i="2" s="1"/>
  <c r="D26" i="2" s="1"/>
  <c r="E25" i="2" s="1"/>
  <c r="I60" i="4"/>
  <c r="J68" i="4"/>
  <c r="J69" i="4" s="1"/>
  <c r="I17" i="4"/>
  <c r="D36" i="2" s="1"/>
  <c r="R14" i="4" l="1"/>
  <c r="R16" i="4" s="1"/>
  <c r="R32" i="4"/>
  <c r="R60" i="4" s="1"/>
  <c r="J30" i="2"/>
  <c r="O92" i="4"/>
  <c r="M30" i="2"/>
  <c r="R92" i="4"/>
  <c r="O32" i="4"/>
  <c r="O60" i="4" s="1"/>
  <c r="K18" i="4"/>
  <c r="K19" i="4" s="1"/>
  <c r="O14" i="4"/>
  <c r="O16" i="4" s="1"/>
  <c r="O30" i="2"/>
  <c r="T32" i="4"/>
  <c r="T14" i="4"/>
  <c r="T16" i="4" s="1"/>
  <c r="T77" i="4" s="1"/>
  <c r="U10" i="4"/>
  <c r="J70" i="4"/>
  <c r="E31" i="2"/>
  <c r="E26" i="2" s="1"/>
  <c r="F25" i="2" s="1"/>
  <c r="K80" i="4"/>
  <c r="S11" i="4"/>
  <c r="S92" i="4" s="1"/>
  <c r="L70" i="4"/>
  <c r="L93" i="4" s="1"/>
  <c r="G31" i="2"/>
  <c r="G26" i="2" s="1"/>
  <c r="H25" i="2" s="1"/>
  <c r="M32" i="4"/>
  <c r="H30" i="2"/>
  <c r="D37" i="2"/>
  <c r="E34" i="2" s="1"/>
  <c r="E37" i="2" s="1"/>
  <c r="F34" i="2" s="1"/>
  <c r="F37" i="2" s="1"/>
  <c r="G34" i="2" s="1"/>
  <c r="R69" i="4"/>
  <c r="R17" i="4"/>
  <c r="R77" i="4"/>
  <c r="N69" i="4"/>
  <c r="O17" i="4"/>
  <c r="O77" i="4"/>
  <c r="N17" i="4"/>
  <c r="N77" i="4"/>
  <c r="P17" i="4"/>
  <c r="P77" i="4"/>
  <c r="P69" i="4"/>
  <c r="Q69" i="4"/>
  <c r="Q17" i="4"/>
  <c r="Q77" i="4"/>
  <c r="M14" i="4"/>
  <c r="M16" i="4" s="1"/>
  <c r="L16" i="4"/>
  <c r="L77" i="4" s="1"/>
  <c r="I70" i="4"/>
  <c r="K69" i="4"/>
  <c r="U48" i="4"/>
  <c r="I18" i="4"/>
  <c r="I19" i="4" s="1"/>
  <c r="U68" i="4"/>
  <c r="L78" i="3"/>
  <c r="L76" i="3"/>
  <c r="L74" i="3"/>
  <c r="L73" i="3"/>
  <c r="O69" i="4" l="1"/>
  <c r="T17" i="4"/>
  <c r="M69" i="4"/>
  <c r="M70" i="4" s="1"/>
  <c r="M93" i="4" s="1"/>
  <c r="M60" i="4"/>
  <c r="T69" i="4"/>
  <c r="O31" i="2" s="1"/>
  <c r="T60" i="4"/>
  <c r="J71" i="4"/>
  <c r="J72" i="4" s="1"/>
  <c r="J93" i="4"/>
  <c r="Q18" i="4"/>
  <c r="Q19" i="4" s="1"/>
  <c r="L36" i="2"/>
  <c r="N30" i="2"/>
  <c r="P30" i="2" s="1"/>
  <c r="S14" i="4"/>
  <c r="S16" i="4" s="1"/>
  <c r="U11" i="4"/>
  <c r="S32" i="4"/>
  <c r="S60" i="4" s="1"/>
  <c r="N18" i="4"/>
  <c r="N19" i="4" s="1"/>
  <c r="I36" i="2"/>
  <c r="K70" i="4"/>
  <c r="F31" i="2"/>
  <c r="R18" i="4"/>
  <c r="R19" i="4" s="1"/>
  <c r="M36" i="2"/>
  <c r="T18" i="4"/>
  <c r="T19" i="4" s="1"/>
  <c r="O36" i="2"/>
  <c r="R70" i="4"/>
  <c r="R93" i="4" s="1"/>
  <c r="M31" i="2"/>
  <c r="O70" i="4"/>
  <c r="O93" i="4" s="1"/>
  <c r="J31" i="2"/>
  <c r="P70" i="4"/>
  <c r="P93" i="4" s="1"/>
  <c r="K31" i="2"/>
  <c r="Q70" i="4"/>
  <c r="Q93" i="4" s="1"/>
  <c r="L31" i="2"/>
  <c r="P18" i="4"/>
  <c r="P19" i="4" s="1"/>
  <c r="K36" i="2"/>
  <c r="O18" i="4"/>
  <c r="O19" i="4" s="1"/>
  <c r="J36" i="2"/>
  <c r="L76" i="4"/>
  <c r="L80" i="4" s="1"/>
  <c r="M76" i="4" s="1"/>
  <c r="K81" i="4"/>
  <c r="N70" i="4"/>
  <c r="N93" i="4" s="1"/>
  <c r="I31" i="2"/>
  <c r="H31" i="2"/>
  <c r="H26" i="2" s="1"/>
  <c r="I25" i="2" s="1"/>
  <c r="M17" i="4"/>
  <c r="M77" i="4"/>
  <c r="L17" i="4"/>
  <c r="G36" i="2" s="1"/>
  <c r="G37" i="2" s="1"/>
  <c r="H34" i="2" s="1"/>
  <c r="I71" i="4"/>
  <c r="L44" i="3"/>
  <c r="T42" i="1"/>
  <c r="S42" i="1"/>
  <c r="L22" i="3"/>
  <c r="K22" i="3"/>
  <c r="T70" i="4" l="1"/>
  <c r="T93" i="4" s="1"/>
  <c r="R71" i="4"/>
  <c r="R72" i="4" s="1"/>
  <c r="P71" i="4"/>
  <c r="P72" i="4" s="1"/>
  <c r="Q71" i="4"/>
  <c r="Q72" i="4" s="1"/>
  <c r="N71" i="4"/>
  <c r="N72" i="4" s="1"/>
  <c r="O71" i="4"/>
  <c r="O72" i="4" s="1"/>
  <c r="J86" i="4"/>
  <c r="K71" i="4"/>
  <c r="K72" i="4" s="1"/>
  <c r="S77" i="4"/>
  <c r="U77" i="4" s="1"/>
  <c r="S17" i="4"/>
  <c r="U14" i="4"/>
  <c r="M18" i="4"/>
  <c r="M19" i="4" s="1"/>
  <c r="H36" i="2"/>
  <c r="H37" i="2" s="1"/>
  <c r="I34" i="2" s="1"/>
  <c r="I37" i="2" s="1"/>
  <c r="J34" i="2" s="1"/>
  <c r="J37" i="2" s="1"/>
  <c r="K34" i="2" s="1"/>
  <c r="K37" i="2" s="1"/>
  <c r="L34" i="2" s="1"/>
  <c r="L37" i="2" s="1"/>
  <c r="M34" i="2" s="1"/>
  <c r="M37" i="2" s="1"/>
  <c r="N34" i="2" s="1"/>
  <c r="U16" i="4"/>
  <c r="U60" i="4"/>
  <c r="U32" i="4"/>
  <c r="S69" i="4"/>
  <c r="I26" i="2"/>
  <c r="J25" i="2" s="1"/>
  <c r="J26" i="2" s="1"/>
  <c r="K25" i="2" s="1"/>
  <c r="K26" i="2" s="1"/>
  <c r="L25" i="2" s="1"/>
  <c r="L26" i="2" s="1"/>
  <c r="M25" i="2" s="1"/>
  <c r="M26" i="2" s="1"/>
  <c r="N25" i="2" s="1"/>
  <c r="M80" i="4"/>
  <c r="M71" i="4"/>
  <c r="M72" i="4" s="1"/>
  <c r="L18" i="4"/>
  <c r="L71" i="4" s="1"/>
  <c r="L72" i="4" s="1"/>
  <c r="I72" i="4"/>
  <c r="J76" i="3"/>
  <c r="J78" i="3" s="1"/>
  <c r="J70" i="3"/>
  <c r="J55" i="3"/>
  <c r="J44" i="3"/>
  <c r="J41" i="3"/>
  <c r="J33" i="3"/>
  <c r="J19" i="3"/>
  <c r="J20" i="3" s="1"/>
  <c r="J12" i="3"/>
  <c r="J13" i="3" s="1"/>
  <c r="J14" i="3" s="1"/>
  <c r="I76" i="3"/>
  <c r="I78" i="3" s="1"/>
  <c r="H76" i="3"/>
  <c r="H78" i="3" s="1"/>
  <c r="G76" i="3"/>
  <c r="G78" i="3" s="1"/>
  <c r="I70" i="3"/>
  <c r="H70" i="3"/>
  <c r="G70" i="3"/>
  <c r="I55" i="3"/>
  <c r="H55" i="3"/>
  <c r="G55" i="3"/>
  <c r="I41" i="3"/>
  <c r="H41" i="3"/>
  <c r="G41" i="3"/>
  <c r="I33" i="3"/>
  <c r="H33" i="3"/>
  <c r="G33" i="3"/>
  <c r="I19" i="3"/>
  <c r="I20" i="3" s="1"/>
  <c r="H19" i="3"/>
  <c r="H20" i="3" s="1"/>
  <c r="G19" i="3"/>
  <c r="G20" i="3" s="1"/>
  <c r="I12" i="3"/>
  <c r="I13" i="3" s="1"/>
  <c r="H12" i="3"/>
  <c r="G12" i="3"/>
  <c r="G13" i="3" s="1"/>
  <c r="G14" i="3" s="1"/>
  <c r="T71" i="4" l="1"/>
  <c r="T72" i="4" s="1"/>
  <c r="K86" i="4"/>
  <c r="K94" i="4" s="1"/>
  <c r="S70" i="4"/>
  <c r="N31" i="2"/>
  <c r="N26" i="2" s="1"/>
  <c r="O25" i="2" s="1"/>
  <c r="O26" i="2" s="1"/>
  <c r="U69" i="4"/>
  <c r="S18" i="4"/>
  <c r="N36" i="2"/>
  <c r="N37" i="2"/>
  <c r="O34" i="2" s="1"/>
  <c r="O37" i="2" s="1"/>
  <c r="U17" i="4"/>
  <c r="N76" i="4"/>
  <c r="N80" i="4" s="1"/>
  <c r="O76" i="4" s="1"/>
  <c r="O80" i="4" s="1"/>
  <c r="P76" i="4" s="1"/>
  <c r="P80" i="4" s="1"/>
  <c r="Q76" i="4" s="1"/>
  <c r="Q80" i="4" s="1"/>
  <c r="R76" i="4" s="1"/>
  <c r="R80" i="4" s="1"/>
  <c r="S76" i="4" s="1"/>
  <c r="S80" i="4" s="1"/>
  <c r="T76" i="4" s="1"/>
  <c r="T80" i="4" s="1"/>
  <c r="L19" i="4"/>
  <c r="J79" i="3"/>
  <c r="J80" i="3" s="1"/>
  <c r="G79" i="3"/>
  <c r="G80" i="3" s="1"/>
  <c r="J21" i="3"/>
  <c r="J22" i="3" s="1"/>
  <c r="G21" i="3"/>
  <c r="H79" i="3"/>
  <c r="H80" i="3" s="1"/>
  <c r="I79" i="3"/>
  <c r="I80" i="3" s="1"/>
  <c r="I14" i="3"/>
  <c r="G22" i="3"/>
  <c r="H13" i="3"/>
  <c r="L86" i="4" l="1"/>
  <c r="L94" i="4" s="1"/>
  <c r="U70" i="4"/>
  <c r="S93" i="4"/>
  <c r="U93" i="4" s="1"/>
  <c r="S19" i="4"/>
  <c r="S71" i="4"/>
  <c r="U18" i="4"/>
  <c r="U19" i="4" s="1"/>
  <c r="U80" i="4"/>
  <c r="J81" i="3"/>
  <c r="J82" i="3" s="1"/>
  <c r="G81" i="3"/>
  <c r="G82" i="3" s="1"/>
  <c r="H14" i="3"/>
  <c r="I21" i="3"/>
  <c r="M86" i="4" l="1"/>
  <c r="M94" i="4" s="1"/>
  <c r="S72" i="4"/>
  <c r="U71" i="4"/>
  <c r="I81" i="3"/>
  <c r="I82" i="3" s="1"/>
  <c r="I22" i="3"/>
  <c r="H21" i="3"/>
  <c r="N86" i="4" l="1"/>
  <c r="N94" i="4" s="1"/>
  <c r="U72" i="4"/>
  <c r="H81" i="3"/>
  <c r="H82" i="3" s="1"/>
  <c r="H22" i="3"/>
  <c r="U92" i="4" l="1"/>
  <c r="O86" i="4"/>
  <c r="O94" i="4" s="1"/>
  <c r="O19" i="2"/>
  <c r="N19" i="2"/>
  <c r="M19" i="2"/>
  <c r="P86" i="4" l="1"/>
  <c r="P94" i="4" s="1"/>
  <c r="P10" i="2"/>
  <c r="O8" i="2"/>
  <c r="N8" i="2"/>
  <c r="M8" i="2"/>
  <c r="L8" i="2"/>
  <c r="K8" i="2"/>
  <c r="J8" i="2"/>
  <c r="I8" i="2"/>
  <c r="H8" i="2"/>
  <c r="G8" i="2"/>
  <c r="F8" i="2"/>
  <c r="E8" i="2"/>
  <c r="D8" i="2"/>
  <c r="P7" i="2"/>
  <c r="P6" i="2"/>
  <c r="Q86" i="4" l="1"/>
  <c r="Q94" i="4" s="1"/>
  <c r="P8" i="2"/>
  <c r="U64" i="1"/>
  <c r="T28" i="1"/>
  <c r="S28" i="1"/>
  <c r="R28" i="1"/>
  <c r="Q28" i="1"/>
  <c r="P28" i="1"/>
  <c r="O28" i="1"/>
  <c r="N28" i="1"/>
  <c r="M28" i="1"/>
  <c r="L28" i="1"/>
  <c r="K28" i="1"/>
  <c r="J28" i="1"/>
  <c r="I28" i="1"/>
  <c r="R86" i="4" l="1"/>
  <c r="R94" i="4" s="1"/>
  <c r="U71" i="1"/>
  <c r="I70" i="1"/>
  <c r="I72" i="1" s="1"/>
  <c r="R70" i="1"/>
  <c r="R72" i="1" s="1"/>
  <c r="T70" i="1"/>
  <c r="T72" i="1" s="1"/>
  <c r="S70" i="1"/>
  <c r="S72" i="1" s="1"/>
  <c r="Q70" i="1"/>
  <c r="Q72" i="1" s="1"/>
  <c r="P70" i="1"/>
  <c r="P72" i="1" s="1"/>
  <c r="O70" i="1"/>
  <c r="O72" i="1" s="1"/>
  <c r="N70" i="1"/>
  <c r="N72" i="1" s="1"/>
  <c r="M70" i="1"/>
  <c r="M72" i="1" s="1"/>
  <c r="L70" i="1"/>
  <c r="L72" i="1" s="1"/>
  <c r="K70" i="1"/>
  <c r="K72" i="1" s="1"/>
  <c r="J70" i="1"/>
  <c r="J72" i="1" s="1"/>
  <c r="U69" i="1"/>
  <c r="U68" i="1"/>
  <c r="T65" i="1"/>
  <c r="S65" i="1"/>
  <c r="R65" i="1"/>
  <c r="Q65" i="1"/>
  <c r="P65" i="1"/>
  <c r="O65" i="1"/>
  <c r="N65" i="1"/>
  <c r="M65" i="1"/>
  <c r="L65" i="1"/>
  <c r="K65" i="1"/>
  <c r="J65" i="1"/>
  <c r="I65" i="1"/>
  <c r="U63" i="1"/>
  <c r="U62" i="1"/>
  <c r="U61" i="1"/>
  <c r="U60" i="1"/>
  <c r="U59" i="1"/>
  <c r="U58" i="1"/>
  <c r="U57" i="1"/>
  <c r="U56" i="1"/>
  <c r="U55" i="1"/>
  <c r="U54" i="1"/>
  <c r="T53" i="1"/>
  <c r="S53" i="1"/>
  <c r="R53" i="1"/>
  <c r="Q53" i="1"/>
  <c r="P53" i="1"/>
  <c r="O53" i="1"/>
  <c r="N53" i="1"/>
  <c r="M53" i="1"/>
  <c r="L53" i="1"/>
  <c r="K53" i="1"/>
  <c r="J53" i="1"/>
  <c r="I53" i="1"/>
  <c r="U52" i="1"/>
  <c r="U51" i="1"/>
  <c r="U50" i="1"/>
  <c r="U49" i="1"/>
  <c r="U48" i="1"/>
  <c r="U47" i="1"/>
  <c r="U46" i="1"/>
  <c r="U45" i="1"/>
  <c r="U44" i="1"/>
  <c r="U43" i="1"/>
  <c r="R42" i="1"/>
  <c r="Q42" i="1"/>
  <c r="P42" i="1"/>
  <c r="O42" i="1"/>
  <c r="N42" i="1"/>
  <c r="M42" i="1"/>
  <c r="L42" i="1"/>
  <c r="K42" i="1"/>
  <c r="J42" i="1"/>
  <c r="I42" i="1"/>
  <c r="U41" i="1"/>
  <c r="U40" i="1"/>
  <c r="T38" i="1"/>
  <c r="S38" i="1"/>
  <c r="R38" i="1"/>
  <c r="Q38" i="1"/>
  <c r="P38" i="1"/>
  <c r="O38" i="1"/>
  <c r="N38" i="1"/>
  <c r="M38" i="1"/>
  <c r="L38" i="1"/>
  <c r="K38" i="1"/>
  <c r="J38" i="1"/>
  <c r="I38" i="1"/>
  <c r="U37" i="1"/>
  <c r="U36" i="1"/>
  <c r="U35" i="1"/>
  <c r="U34" i="1"/>
  <c r="U33" i="1"/>
  <c r="U31" i="1"/>
  <c r="R30" i="1"/>
  <c r="Q30" i="1"/>
  <c r="P30" i="1"/>
  <c r="O30" i="1"/>
  <c r="N30" i="1"/>
  <c r="M30" i="1"/>
  <c r="L30" i="1"/>
  <c r="K30" i="1"/>
  <c r="J30" i="1"/>
  <c r="I30" i="1"/>
  <c r="U29" i="1"/>
  <c r="T30" i="1"/>
  <c r="U27" i="1"/>
  <c r="L30" i="3" s="1"/>
  <c r="U26" i="1"/>
  <c r="U24" i="1"/>
  <c r="U23" i="1"/>
  <c r="R16" i="1"/>
  <c r="R17" i="1" s="1"/>
  <c r="Q16" i="1"/>
  <c r="Q17" i="1" s="1"/>
  <c r="P16" i="1"/>
  <c r="P17" i="1" s="1"/>
  <c r="O16" i="1"/>
  <c r="O17" i="1" s="1"/>
  <c r="N16" i="1"/>
  <c r="N17" i="1" s="1"/>
  <c r="M16" i="1"/>
  <c r="M17" i="1" s="1"/>
  <c r="L16" i="1"/>
  <c r="L17" i="1" s="1"/>
  <c r="K16" i="1"/>
  <c r="K17" i="1" s="1"/>
  <c r="J16" i="1"/>
  <c r="J17" i="1" s="1"/>
  <c r="I16" i="1"/>
  <c r="I17" i="1" s="1"/>
  <c r="U15" i="1"/>
  <c r="T9" i="1"/>
  <c r="T10" i="1" s="1"/>
  <c r="T11" i="1" s="1"/>
  <c r="S9" i="1"/>
  <c r="S10" i="1" s="1"/>
  <c r="S11" i="1" s="1"/>
  <c r="R9" i="1"/>
  <c r="R10" i="1" s="1"/>
  <c r="R11" i="1" s="1"/>
  <c r="Q9" i="1"/>
  <c r="Q10" i="1" s="1"/>
  <c r="Q11" i="1" s="1"/>
  <c r="P9" i="1"/>
  <c r="P10" i="1" s="1"/>
  <c r="P11" i="1" s="1"/>
  <c r="O9" i="1"/>
  <c r="O10" i="1" s="1"/>
  <c r="O11" i="1" s="1"/>
  <c r="N9" i="1"/>
  <c r="N10" i="1" s="1"/>
  <c r="N11" i="1" s="1"/>
  <c r="M9" i="1"/>
  <c r="M10" i="1" s="1"/>
  <c r="M11" i="1" s="1"/>
  <c r="L9" i="1"/>
  <c r="L10" i="1" s="1"/>
  <c r="L11" i="1" s="1"/>
  <c r="K9" i="1"/>
  <c r="K10" i="1" s="1"/>
  <c r="K11" i="1" s="1"/>
  <c r="J9" i="1"/>
  <c r="J10" i="1" s="1"/>
  <c r="J11" i="1" s="1"/>
  <c r="I9" i="1"/>
  <c r="I10" i="1" s="1"/>
  <c r="U8" i="1"/>
  <c r="U6" i="1"/>
  <c r="S86" i="4" l="1"/>
  <c r="S94" i="4" s="1"/>
  <c r="P32" i="1"/>
  <c r="T32" i="1"/>
  <c r="T73" i="1" s="1"/>
  <c r="T74" i="1" s="1"/>
  <c r="N32" i="1"/>
  <c r="N73" i="1" s="1"/>
  <c r="N74" i="1" s="1"/>
  <c r="L32" i="1"/>
  <c r="L73" i="1" s="1"/>
  <c r="L74" i="1" s="1"/>
  <c r="J32" i="1"/>
  <c r="J73" i="1" s="1"/>
  <c r="J74" i="1" s="1"/>
  <c r="R32" i="1"/>
  <c r="R73" i="1" s="1"/>
  <c r="R74" i="1" s="1"/>
  <c r="S32" i="1"/>
  <c r="K32" i="1"/>
  <c r="K73" i="1" s="1"/>
  <c r="K74" i="1" s="1"/>
  <c r="O32" i="1"/>
  <c r="O73" i="1" s="1"/>
  <c r="O74" i="1" s="1"/>
  <c r="P73" i="1"/>
  <c r="P74" i="1" s="1"/>
  <c r="M32" i="1"/>
  <c r="M73" i="1" s="1"/>
  <c r="M74" i="1" s="1"/>
  <c r="Q32" i="1"/>
  <c r="Q73" i="1" s="1"/>
  <c r="Q74" i="1" s="1"/>
  <c r="U28" i="1"/>
  <c r="L31" i="3" s="1"/>
  <c r="L33" i="3" s="1"/>
  <c r="L79" i="3" s="1"/>
  <c r="L80" i="3" s="1"/>
  <c r="L81" i="3" s="1"/>
  <c r="L82" i="3" s="1"/>
  <c r="U72" i="1"/>
  <c r="U38" i="1"/>
  <c r="M18" i="1"/>
  <c r="Q18" i="1"/>
  <c r="J18" i="1"/>
  <c r="O18" i="1"/>
  <c r="R18" i="1"/>
  <c r="U10" i="1"/>
  <c r="K18" i="1"/>
  <c r="U25" i="1"/>
  <c r="S30" i="1"/>
  <c r="U30" i="1" s="1"/>
  <c r="U65" i="1"/>
  <c r="I11" i="1"/>
  <c r="N18" i="1"/>
  <c r="N19" i="1" s="1"/>
  <c r="L18" i="1"/>
  <c r="P18" i="1"/>
  <c r="T16" i="1"/>
  <c r="T17" i="1" s="1"/>
  <c r="T18" i="1" s="1"/>
  <c r="U42" i="1"/>
  <c r="U53" i="1"/>
  <c r="U70" i="1"/>
  <c r="U9" i="1"/>
  <c r="T86" i="4" l="1"/>
  <c r="T94" i="4" s="1"/>
  <c r="Q75" i="1"/>
  <c r="N75" i="1"/>
  <c r="N76" i="1" s="1"/>
  <c r="K75" i="1"/>
  <c r="J75" i="1"/>
  <c r="P75" i="1"/>
  <c r="T75" i="1"/>
  <c r="I32" i="1"/>
  <c r="I73" i="1" s="1"/>
  <c r="I74" i="1" s="1"/>
  <c r="D5" i="2" s="1"/>
  <c r="L75" i="1"/>
  <c r="S73" i="1"/>
  <c r="S74" i="1" s="1"/>
  <c r="R75" i="1"/>
  <c r="M75" i="1"/>
  <c r="M76" i="1" s="1"/>
  <c r="O75" i="1"/>
  <c r="U32" i="1"/>
  <c r="P19" i="1"/>
  <c r="I18" i="1"/>
  <c r="U11" i="1"/>
  <c r="O19" i="1"/>
  <c r="L19" i="1"/>
  <c r="R19" i="1"/>
  <c r="Q19" i="1"/>
  <c r="J19" i="1"/>
  <c r="S16" i="1"/>
  <c r="U14" i="1"/>
  <c r="K19" i="1"/>
  <c r="M19" i="1"/>
  <c r="D20" i="2" l="1"/>
  <c r="E4" i="2"/>
  <c r="E5" i="2" s="1"/>
  <c r="I75" i="1"/>
  <c r="T76" i="1"/>
  <c r="K76" i="1"/>
  <c r="L76" i="1"/>
  <c r="J76" i="1"/>
  <c r="Q76" i="1"/>
  <c r="P76" i="1"/>
  <c r="R76" i="1"/>
  <c r="U73" i="1"/>
  <c r="I19" i="1"/>
  <c r="S17" i="1"/>
  <c r="U16" i="1"/>
  <c r="O76" i="1"/>
  <c r="F4" i="2" l="1"/>
  <c r="F5" i="2" s="1"/>
  <c r="E20" i="2"/>
  <c r="U74" i="1"/>
  <c r="S18" i="1"/>
  <c r="S75" i="1" s="1"/>
  <c r="U17" i="1"/>
  <c r="I76" i="1"/>
  <c r="F20" i="2" l="1"/>
  <c r="G4" i="2"/>
  <c r="G5" i="2" s="1"/>
  <c r="U75" i="1"/>
  <c r="U18" i="1"/>
  <c r="U19" i="1" s="1"/>
  <c r="G20" i="2" l="1"/>
  <c r="H4" i="2"/>
  <c r="H5" i="2" s="1"/>
  <c r="S76" i="1"/>
  <c r="U76" i="1" s="1"/>
  <c r="I4" i="2" l="1"/>
  <c r="I5" i="2" s="1"/>
  <c r="H20" i="2"/>
  <c r="I20" i="2" l="1"/>
  <c r="J4" i="2"/>
  <c r="J5" i="2" s="1"/>
  <c r="J20" i="2" l="1"/>
  <c r="K4" i="2"/>
  <c r="K5" i="2" s="1"/>
  <c r="K20" i="2" l="1"/>
  <c r="L4" i="2"/>
  <c r="L5" i="2" s="1"/>
  <c r="L20" i="2" l="1"/>
  <c r="M4" i="2"/>
  <c r="M5" i="2" s="1"/>
  <c r="M20" i="2" l="1"/>
  <c r="N4" i="2"/>
  <c r="N5" i="2" s="1"/>
  <c r="N20" i="2" l="1"/>
  <c r="O4" i="2"/>
  <c r="O5" i="2" s="1"/>
  <c r="O20" i="2" s="1"/>
</calcChain>
</file>

<file path=xl/comments1.xml><?xml version="1.0" encoding="utf-8"?>
<comments xmlns="http://schemas.openxmlformats.org/spreadsheetml/2006/main">
  <authors>
    <author>Frances</author>
  </authors>
  <commentList>
    <comment ref="I77" authorId="0" shapeId="0">
      <text>
        <r>
          <rPr>
            <b/>
            <sz val="9"/>
            <color indexed="81"/>
            <rFont val="Tahoma"/>
            <family val="2"/>
          </rPr>
          <t>Frances:</t>
        </r>
        <r>
          <rPr>
            <sz val="9"/>
            <color indexed="81"/>
            <rFont val="Tahoma"/>
            <family val="2"/>
          </rPr>
          <t xml:space="preserve">
April previously had ($12,200), a default amt that got input when I had to transfer QB from laptop to desktop.</t>
        </r>
      </text>
    </comment>
  </commentList>
</comments>
</file>

<file path=xl/sharedStrings.xml><?xml version="1.0" encoding="utf-8"?>
<sst xmlns="http://schemas.openxmlformats.org/spreadsheetml/2006/main" count="343" uniqueCount="161">
  <si>
    <t xml:space="preserve"> </t>
  </si>
  <si>
    <t>TOTAL</t>
  </si>
  <si>
    <t>Ordinary Income/Expense</t>
  </si>
  <si>
    <t>Income</t>
  </si>
  <si>
    <t>4000 · INCOME</t>
  </si>
  <si>
    <t>4100 · Store Sales</t>
  </si>
  <si>
    <t>4500 · Off-Site Sales</t>
  </si>
  <si>
    <t>4505 · Regular Off-Site Sales</t>
  </si>
  <si>
    <t>Total 4500 · Off-Site Sales</t>
  </si>
  <si>
    <t>Total 4000 · INCOME</t>
  </si>
  <si>
    <t>Total Income</t>
  </si>
  <si>
    <t>Cost of Goods Sold</t>
  </si>
  <si>
    <t>5000 · COST OF GOODS SOLD</t>
  </si>
  <si>
    <t>5001 · Cost of Goods Sold</t>
  </si>
  <si>
    <t>5010 · Rebates</t>
  </si>
  <si>
    <t>Total 5000 · COST OF GOODS SOLD</t>
  </si>
  <si>
    <t>Total COGS</t>
  </si>
  <si>
    <t>Gross Profit</t>
  </si>
  <si>
    <t>Expense</t>
  </si>
  <si>
    <t>6000 · OPERATING EXPENSES</t>
  </si>
  <si>
    <t>6001 · Salaries &amp; Wages</t>
  </si>
  <si>
    <t>6002 · Manager</t>
  </si>
  <si>
    <t>6003 · INV/VM Manager</t>
  </si>
  <si>
    <t>Assistant Mgr</t>
  </si>
  <si>
    <t>6004 · Bookkeeper</t>
  </si>
  <si>
    <t>6005 · Temporary Employee</t>
  </si>
  <si>
    <t>6009 · Payroll Tax</t>
  </si>
  <si>
    <t>6026 · Payroll processing fees</t>
  </si>
  <si>
    <t>Total 6001 · Salaries &amp; Wages</t>
  </si>
  <si>
    <t>6010 · Advertising</t>
  </si>
  <si>
    <t>6040 · Credit Card Fees</t>
  </si>
  <si>
    <t>6080 · Insurance</t>
  </si>
  <si>
    <t>6090 · Professional Fees</t>
  </si>
  <si>
    <t>6091 · Accounting Fees</t>
  </si>
  <si>
    <t>6092 · Professional Fees-Other</t>
  </si>
  <si>
    <t>8110 · Technical Support</t>
  </si>
  <si>
    <t>Total 6090 · Professional Fees</t>
  </si>
  <si>
    <t>6100 · Rent</t>
  </si>
  <si>
    <t>6101 · Moving</t>
  </si>
  <si>
    <t>6100 · Rent - Other</t>
  </si>
  <si>
    <t>Total 6100 · Rent</t>
  </si>
  <si>
    <t>6102 · Building &amp; Ground</t>
  </si>
  <si>
    <t>6110 · Store Supplies</t>
  </si>
  <si>
    <t>6115 · Marketing</t>
  </si>
  <si>
    <t>6120 · Utilities &amp; Phone</t>
  </si>
  <si>
    <t>6121 · Telephone</t>
  </si>
  <si>
    <t>6122 · Electric</t>
  </si>
  <si>
    <t>6123 · Gas</t>
  </si>
  <si>
    <t>6124 · Water</t>
  </si>
  <si>
    <t>6126 · Network</t>
  </si>
  <si>
    <t>6120 · Utilities &amp; Phone - Other</t>
  </si>
  <si>
    <t>Total 6120 · Utilities &amp; Phone</t>
  </si>
  <si>
    <t>6135 · Offsite Sales Expense</t>
  </si>
  <si>
    <t>8000 · General Expenses</t>
  </si>
  <si>
    <t>8010 · Office Supplies</t>
  </si>
  <si>
    <t>8020 · Bank Charges</t>
  </si>
  <si>
    <t>8030 · Cash Over/Short</t>
  </si>
  <si>
    <t>8040 · Contributions by TTV Nashville</t>
  </si>
  <si>
    <t>8060 · Staff Development</t>
  </si>
  <si>
    <t>8080 · Postage</t>
  </si>
  <si>
    <t>8120 · Travel &amp; Entertainment</t>
  </si>
  <si>
    <t>8140 · Taxes &amp; Licenses</t>
  </si>
  <si>
    <t>Net Income</t>
  </si>
  <si>
    <t>170 Visual Merc</t>
  </si>
  <si>
    <t>Total 8000 · General Expenses</t>
  </si>
  <si>
    <t>9000 · Other Income</t>
  </si>
  <si>
    <t>9011 · Contributions</t>
  </si>
  <si>
    <t>9013 · Individuals</t>
  </si>
  <si>
    <t>9014 · Corporate</t>
  </si>
  <si>
    <t>Total 9011 · Contributions</t>
  </si>
  <si>
    <t>9015 · Interest Income</t>
  </si>
  <si>
    <t>Total 9000 · Other Income</t>
  </si>
  <si>
    <t>Total 6000 · OPERATING EXPENSES</t>
  </si>
  <si>
    <t>Net Ordinary Income</t>
  </si>
  <si>
    <t>BeginBank account</t>
  </si>
  <si>
    <t>EndBank account</t>
  </si>
  <si>
    <t>orders</t>
  </si>
  <si>
    <t>ProductPayments</t>
  </si>
  <si>
    <t>Loan Payments</t>
  </si>
  <si>
    <t>Apr 20</t>
  </si>
  <si>
    <t>May  20</t>
  </si>
  <si>
    <t>Jun 20</t>
  </si>
  <si>
    <t>Jul 20</t>
  </si>
  <si>
    <t>Aug 20</t>
  </si>
  <si>
    <t>Sep 20</t>
  </si>
  <si>
    <t>Oct 20</t>
  </si>
  <si>
    <t>Nov 20</t>
  </si>
  <si>
    <t>Dec 20</t>
  </si>
  <si>
    <t>Jan 21</t>
  </si>
  <si>
    <t>Feb 21</t>
  </si>
  <si>
    <t>Mar 21</t>
  </si>
  <si>
    <t>sales</t>
  </si>
  <si>
    <t>expeses</t>
  </si>
  <si>
    <t>Total Expense Net</t>
  </si>
  <si>
    <t>2021 Budget</t>
  </si>
  <si>
    <t>Actual &amp; Forecast</t>
  </si>
  <si>
    <t>Sales</t>
  </si>
  <si>
    <t>Expenses</t>
  </si>
  <si>
    <t>pl</t>
  </si>
  <si>
    <t xml:space="preserve">Ten Thousand Villages .2019 Budget </t>
  </si>
  <si>
    <t>Actual</t>
  </si>
  <si>
    <t>Budget</t>
  </si>
  <si>
    <t>4503 · Tent Sale</t>
  </si>
  <si>
    <t xml:space="preserve">             PopUp</t>
  </si>
  <si>
    <t xml:space="preserve">Dollars </t>
  </si>
  <si>
    <t>%</t>
  </si>
  <si>
    <t>6003 · Inv/ VM Mgr</t>
  </si>
  <si>
    <t>$16.00 ph Jo</t>
  </si>
  <si>
    <t>6003 · Assistant Manager</t>
  </si>
  <si>
    <t xml:space="preserve">$14.00 ph </t>
  </si>
  <si>
    <t>6 hours per week @ $14</t>
  </si>
  <si>
    <t>Moving</t>
  </si>
  <si>
    <t>Other rent</t>
  </si>
  <si>
    <t>6115- Marketing</t>
  </si>
  <si>
    <t xml:space="preserve">6135 · Offsite Sales Expense </t>
  </si>
  <si>
    <t>8000 · General Expenses Inc Visual Mer</t>
  </si>
  <si>
    <t>8030-Cash over/Short</t>
  </si>
  <si>
    <t>8070-Fixtures</t>
  </si>
  <si>
    <t>8130- Outreach</t>
  </si>
  <si>
    <t>8170- Visual Merchandising</t>
  </si>
  <si>
    <t>8150- Misc Expense</t>
  </si>
  <si>
    <t>9012-Grants</t>
  </si>
  <si>
    <t>Total Expense</t>
  </si>
  <si>
    <t>.077 X Total payroll</t>
  </si>
  <si>
    <t>$55 monthly</t>
  </si>
  <si>
    <t>Multiple .0195 X Sales</t>
  </si>
  <si>
    <t>Bank Loan</t>
  </si>
  <si>
    <t>20 hrs per week Oct-Dec</t>
  </si>
  <si>
    <t>25 per week. 35hrs Nov , Dec</t>
  </si>
  <si>
    <t>Receipts</t>
  </si>
  <si>
    <t>Begin Inventory</t>
  </si>
  <si>
    <t>Ending Inv</t>
  </si>
  <si>
    <t>Revised 2021 Budget</t>
  </si>
  <si>
    <t>60035 · VM &amp; Inventory Manager</t>
  </si>
  <si>
    <t>8170 · Visual Merchandising</t>
  </si>
  <si>
    <t>Total Gross Expense</t>
  </si>
  <si>
    <t>Beginning Inventory</t>
  </si>
  <si>
    <t>-COGS</t>
  </si>
  <si>
    <t>+Purchases</t>
  </si>
  <si>
    <t>Adjustments</t>
  </si>
  <si>
    <t>Ending Inventory</t>
  </si>
  <si>
    <t>6091</t>
  </si>
  <si>
    <t>Professional Fees Other</t>
  </si>
  <si>
    <t>8010-Office Supplies</t>
  </si>
  <si>
    <t>8020-Bank Charges</t>
  </si>
  <si>
    <t>8030-Cash Over/Short</t>
  </si>
  <si>
    <t>8040-Contributions by TTV</t>
  </si>
  <si>
    <t>8060-Staff Development</t>
  </si>
  <si>
    <t>8080-Postage</t>
  </si>
  <si>
    <t>8120- Travel &amp; Entertainment</t>
  </si>
  <si>
    <t>4500-Offsite sales</t>
  </si>
  <si>
    <t>4505 Reg Offsite sales</t>
  </si>
  <si>
    <t>Total Offsitr Sales</t>
  </si>
  <si>
    <t>Total</t>
  </si>
  <si>
    <t>9015 Grant</t>
  </si>
  <si>
    <t>SBA Loan</t>
  </si>
  <si>
    <t>Net Expenses</t>
  </si>
  <si>
    <t>Apr 20 Act</t>
  </si>
  <si>
    <t>May 20 Act</t>
  </si>
  <si>
    <t>Jun 20 Act</t>
  </si>
  <si>
    <t>Stimulus Loan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</si>
</sst>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\-#,##0"/>
    <numFmt numFmtId="165" formatCode="#,##0.00;\-#,##0.00"/>
    <numFmt numFmtId="166" formatCode="0.0%"/>
    <numFmt numFmtId="167" formatCode="_(&quot;$&quot;* #,##0_);_(&quot;$&quot;* \(#,##0\);_(&quot;$&quot;* &quot;-&quot;??_);_(@_)"/>
    <numFmt numFmtId="168" formatCode="_(* #,##0_);_(* \(#,##0\);_(* &quot;-&quot;??_);_(@_)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rgb="FF000000"/>
      <name val="Arial"/>
      <family val="2"/>
    </font>
    <font>
      <b/>
      <sz val="8"/>
      <color rgb="FF323232"/>
      <name val="Arial"/>
      <family val="2"/>
    </font>
    <font>
      <sz val="8"/>
      <color rgb="FF000000"/>
      <name val="Arial"/>
      <family val="2"/>
    </font>
    <font>
      <sz val="8"/>
      <color rgb="FF323232"/>
      <name val="Arial"/>
      <family val="2"/>
    </font>
    <font>
      <b/>
      <sz val="10"/>
      <color rgb="FF000000"/>
      <name val="Arial"/>
      <family val="2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rgb="FF000000"/>
      <name val="Arial"/>
      <family val="2"/>
    </font>
    <font>
      <sz val="12"/>
      <color theme="1"/>
      <name val="Calibri"/>
      <family val="2"/>
      <scheme val="minor"/>
    </font>
    <font>
      <sz val="12"/>
      <name val="Arial"/>
      <family val="2"/>
    </font>
    <font>
      <sz val="12"/>
      <color rgb="FF000000"/>
      <name val="Calibri"/>
      <family val="2"/>
      <scheme val="minor"/>
    </font>
    <font>
      <sz val="10"/>
      <name val="Arial"/>
      <family val="2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name val="Arial"/>
      <family val="2"/>
    </font>
    <font>
      <b/>
      <sz val="14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rgb="FF323232"/>
      <name val="Arial"/>
      <family val="2"/>
    </font>
    <font>
      <b/>
      <sz val="11"/>
      <color rgb="FF00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1"/>
      <name val="Arial"/>
      <family val="2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0">
    <xf numFmtId="0" fontId="0" fillId="0" borderId="0" xfId="0"/>
    <xf numFmtId="49" fontId="3" fillId="0" borderId="0" xfId="0" applyNumberFormat="1" applyFont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49" fontId="4" fillId="0" borderId="0" xfId="0" applyNumberFormat="1" applyFont="1"/>
    <xf numFmtId="0" fontId="0" fillId="0" borderId="0" xfId="0" applyAlignment="1">
      <alignment horizontal="center"/>
    </xf>
    <xf numFmtId="49" fontId="3" fillId="0" borderId="0" xfId="0" applyNumberFormat="1" applyFont="1"/>
    <xf numFmtId="164" fontId="5" fillId="0" borderId="0" xfId="0" applyNumberFormat="1" applyFont="1"/>
    <xf numFmtId="165" fontId="6" fillId="0" borderId="0" xfId="0" applyNumberFormat="1" applyFont="1"/>
    <xf numFmtId="164" fontId="6" fillId="0" borderId="0" xfId="0" applyNumberFormat="1" applyFont="1"/>
    <xf numFmtId="164" fontId="5" fillId="0" borderId="2" xfId="0" applyNumberFormat="1" applyFont="1" applyBorder="1"/>
    <xf numFmtId="164" fontId="5" fillId="0" borderId="3" xfId="0" applyNumberFormat="1" applyFont="1" applyBorder="1"/>
    <xf numFmtId="164" fontId="6" fillId="0" borderId="3" xfId="0" applyNumberFormat="1" applyFont="1" applyBorder="1"/>
    <xf numFmtId="164" fontId="5" fillId="0" borderId="4" xfId="0" applyNumberFormat="1" applyFont="1" applyBorder="1"/>
    <xf numFmtId="164" fontId="6" fillId="0" borderId="4" xfId="0" applyNumberFormat="1" applyFont="1" applyBorder="1"/>
    <xf numFmtId="166" fontId="5" fillId="0" borderId="0" xfId="3" applyNumberFormat="1" applyFont="1"/>
    <xf numFmtId="164" fontId="0" fillId="0" borderId="0" xfId="0" applyNumberFormat="1"/>
    <xf numFmtId="164" fontId="6" fillId="0" borderId="2" xfId="0" applyNumberFormat="1" applyFont="1" applyBorder="1"/>
    <xf numFmtId="164" fontId="5" fillId="0" borderId="5" xfId="0" applyNumberFormat="1" applyFont="1" applyBorder="1"/>
    <xf numFmtId="49" fontId="4" fillId="2" borderId="0" xfId="0" applyNumberFormat="1" applyFont="1" applyFill="1"/>
    <xf numFmtId="164" fontId="6" fillId="2" borderId="0" xfId="0" applyNumberFormat="1" applyFont="1" applyFill="1"/>
    <xf numFmtId="0" fontId="3" fillId="0" borderId="0" xfId="0" applyFont="1"/>
    <xf numFmtId="164" fontId="4" fillId="0" borderId="6" xfId="0" applyNumberFormat="1" applyFont="1" applyBorder="1"/>
    <xf numFmtId="164" fontId="3" fillId="0" borderId="6" xfId="0" applyNumberFormat="1" applyFont="1" applyBorder="1"/>
    <xf numFmtId="164" fontId="3" fillId="0" borderId="0" xfId="0" applyNumberFormat="1" applyFont="1"/>
    <xf numFmtId="0" fontId="7" fillId="0" borderId="0" xfId="0" applyFont="1" applyAlignment="1">
      <alignment horizontal="center"/>
    </xf>
    <xf numFmtId="0" fontId="8" fillId="0" borderId="0" xfId="0" applyFont="1"/>
    <xf numFmtId="0" fontId="7" fillId="0" borderId="0" xfId="0" applyFont="1"/>
    <xf numFmtId="4" fontId="0" fillId="0" borderId="0" xfId="0" applyNumberFormat="1"/>
    <xf numFmtId="43" fontId="4" fillId="0" borderId="0" xfId="1" applyFont="1"/>
    <xf numFmtId="164" fontId="5" fillId="0" borderId="0" xfId="0" applyNumberFormat="1" applyFont="1" applyBorder="1"/>
    <xf numFmtId="0" fontId="7" fillId="0" borderId="0" xfId="0" applyFont="1" applyFill="1"/>
    <xf numFmtId="167" fontId="9" fillId="0" borderId="0" xfId="2" applyNumberFormat="1" applyFont="1" applyFill="1"/>
    <xf numFmtId="0" fontId="2" fillId="0" borderId="0" xfId="0" applyFont="1" applyAlignment="1">
      <alignment horizontal="center"/>
    </xf>
    <xf numFmtId="167" fontId="9" fillId="0" borderId="0" xfId="2" applyNumberFormat="1" applyFont="1"/>
    <xf numFmtId="167" fontId="9" fillId="3" borderId="0" xfId="2" applyNumberFormat="1" applyFont="1" applyFill="1"/>
    <xf numFmtId="164" fontId="9" fillId="0" borderId="0" xfId="0" applyNumberFormat="1" applyFont="1"/>
    <xf numFmtId="0" fontId="9" fillId="0" borderId="0" xfId="0" applyFont="1"/>
    <xf numFmtId="167" fontId="9" fillId="0" borderId="0" xfId="0" applyNumberFormat="1" applyFont="1"/>
    <xf numFmtId="167" fontId="9" fillId="3" borderId="0" xfId="0" applyNumberFormat="1" applyFont="1" applyFill="1"/>
    <xf numFmtId="49" fontId="7" fillId="0" borderId="1" xfId="0" applyNumberFormat="1" applyFont="1" applyBorder="1" applyAlignment="1">
      <alignment horizontal="center"/>
    </xf>
    <xf numFmtId="49" fontId="7" fillId="0" borderId="2" xfId="0" applyNumberFormat="1" applyFont="1" applyBorder="1" applyAlignment="1">
      <alignment horizontal="center"/>
    </xf>
    <xf numFmtId="0" fontId="11" fillId="0" borderId="0" xfId="0" applyFont="1"/>
    <xf numFmtId="0" fontId="10" fillId="0" borderId="0" xfId="0" applyFont="1"/>
    <xf numFmtId="167" fontId="0" fillId="0" borderId="0" xfId="2" applyNumberFormat="1" applyFont="1"/>
    <xf numFmtId="49" fontId="12" fillId="0" borderId="0" xfId="0" applyNumberFormat="1" applyFont="1" applyAlignment="1">
      <alignment horizontal="center"/>
    </xf>
    <xf numFmtId="0" fontId="13" fillId="0" borderId="0" xfId="0" applyFont="1"/>
    <xf numFmtId="49" fontId="12" fillId="0" borderId="0" xfId="0" applyNumberFormat="1" applyFont="1"/>
    <xf numFmtId="0" fontId="14" fillId="0" borderId="0" xfId="0" applyFont="1"/>
    <xf numFmtId="168" fontId="14" fillId="0" borderId="0" xfId="1" applyNumberFormat="1" applyFont="1"/>
    <xf numFmtId="164" fontId="15" fillId="0" borderId="0" xfId="0" applyNumberFormat="1" applyFont="1"/>
    <xf numFmtId="168" fontId="15" fillId="0" borderId="0" xfId="1" applyNumberFormat="1" applyFont="1"/>
    <xf numFmtId="168" fontId="13" fillId="0" borderId="0" xfId="1" applyNumberFormat="1" applyFont="1"/>
    <xf numFmtId="0" fontId="2" fillId="0" borderId="0" xfId="0" applyFont="1"/>
    <xf numFmtId="168" fontId="15" fillId="0" borderId="2" xfId="1" applyNumberFormat="1" applyFont="1" applyBorder="1"/>
    <xf numFmtId="168" fontId="14" fillId="0" borderId="2" xfId="1" applyNumberFormat="1" applyFont="1" applyBorder="1"/>
    <xf numFmtId="168" fontId="13" fillId="0" borderId="2" xfId="1" applyNumberFormat="1" applyFont="1" applyBorder="1"/>
    <xf numFmtId="0" fontId="13" fillId="0" borderId="2" xfId="0" applyFont="1" applyBorder="1"/>
    <xf numFmtId="168" fontId="15" fillId="0" borderId="4" xfId="1" applyNumberFormat="1" applyFont="1" applyBorder="1"/>
    <xf numFmtId="164" fontId="15" fillId="0" borderId="7" xfId="3" applyNumberFormat="1" applyFont="1" applyBorder="1"/>
    <xf numFmtId="168" fontId="14" fillId="0" borderId="0" xfId="0" applyNumberFormat="1" applyFont="1"/>
    <xf numFmtId="164" fontId="15" fillId="0" borderId="2" xfId="0" applyNumberFormat="1" applyFont="1" applyBorder="1"/>
    <xf numFmtId="166" fontId="15" fillId="0" borderId="0" xfId="3" applyNumberFormat="1" applyFont="1"/>
    <xf numFmtId="43" fontId="13" fillId="0" borderId="0" xfId="1" applyFont="1"/>
    <xf numFmtId="168" fontId="13" fillId="0" borderId="0" xfId="0" applyNumberFormat="1" applyFont="1"/>
    <xf numFmtId="49" fontId="12" fillId="4" borderId="0" xfId="0" applyNumberFormat="1" applyFont="1" applyFill="1"/>
    <xf numFmtId="43" fontId="15" fillId="0" borderId="0" xfId="1" applyFont="1"/>
    <xf numFmtId="0" fontId="14" fillId="0" borderId="2" xfId="0" applyFont="1" applyBorder="1"/>
    <xf numFmtId="49" fontId="7" fillId="0" borderId="0" xfId="0" applyNumberFormat="1" applyFont="1"/>
    <xf numFmtId="49" fontId="7" fillId="4" borderId="0" xfId="0" applyNumberFormat="1" applyFont="1" applyFill="1"/>
    <xf numFmtId="168" fontId="16" fillId="0" borderId="0" xfId="1" applyNumberFormat="1" applyFont="1"/>
    <xf numFmtId="164" fontId="17" fillId="0" borderId="0" xfId="0" applyNumberFormat="1" applyFont="1"/>
    <xf numFmtId="168" fontId="17" fillId="0" borderId="0" xfId="1" applyNumberFormat="1" applyFont="1"/>
    <xf numFmtId="43" fontId="0" fillId="0" borderId="0" xfId="1" applyFont="1"/>
    <xf numFmtId="168" fontId="16" fillId="0" borderId="2" xfId="1" applyNumberFormat="1" applyFont="1" applyBorder="1"/>
    <xf numFmtId="164" fontId="17" fillId="0" borderId="2" xfId="0" applyNumberFormat="1" applyFont="1" applyBorder="1"/>
    <xf numFmtId="168" fontId="17" fillId="0" borderId="2" xfId="1" applyNumberFormat="1" applyFont="1" applyBorder="1"/>
    <xf numFmtId="0" fontId="16" fillId="0" borderId="0" xfId="0" applyFont="1"/>
    <xf numFmtId="168" fontId="17" fillId="0" borderId="0" xfId="1" applyNumberFormat="1" applyFont="1" applyBorder="1"/>
    <xf numFmtId="168" fontId="17" fillId="0" borderId="4" xfId="1" applyNumberFormat="1" applyFont="1" applyBorder="1"/>
    <xf numFmtId="168" fontId="0" fillId="0" borderId="0" xfId="0" applyNumberFormat="1"/>
    <xf numFmtId="168" fontId="18" fillId="0" borderId="6" xfId="1" applyNumberFormat="1" applyFont="1" applyBorder="1"/>
    <xf numFmtId="168" fontId="16" fillId="0" borderId="0" xfId="0" applyNumberFormat="1" applyFont="1"/>
    <xf numFmtId="168" fontId="15" fillId="0" borderId="0" xfId="1" applyNumberFormat="1" applyFont="1" applyBorder="1"/>
    <xf numFmtId="168" fontId="14" fillId="0" borderId="4" xfId="1" applyNumberFormat="1" applyFont="1" applyBorder="1"/>
    <xf numFmtId="168" fontId="14" fillId="0" borderId="4" xfId="0" applyNumberFormat="1" applyFont="1" applyBorder="1"/>
    <xf numFmtId="0" fontId="2" fillId="0" borderId="0" xfId="0" applyFont="1" applyBorder="1" applyAlignment="1">
      <alignment horizontal="center"/>
    </xf>
    <xf numFmtId="0" fontId="13" fillId="0" borderId="0" xfId="0" applyFont="1" applyBorder="1"/>
    <xf numFmtId="166" fontId="13" fillId="0" borderId="0" xfId="3" applyNumberFormat="1" applyFont="1" applyBorder="1"/>
    <xf numFmtId="166" fontId="13" fillId="0" borderId="0" xfId="3" applyNumberFormat="1" applyFont="1" applyFill="1" applyBorder="1"/>
    <xf numFmtId="49" fontId="12" fillId="0" borderId="2" xfId="0" applyNumberFormat="1" applyFont="1" applyBorder="1"/>
    <xf numFmtId="1" fontId="14" fillId="0" borderId="0" xfId="0" applyNumberFormat="1" applyFont="1" applyBorder="1"/>
    <xf numFmtId="0" fontId="0" fillId="0" borderId="2" xfId="0" applyBorder="1"/>
    <xf numFmtId="168" fontId="18" fillId="0" borderId="0" xfId="1" applyNumberFormat="1" applyFont="1" applyBorder="1"/>
    <xf numFmtId="0" fontId="0" fillId="0" borderId="0" xfId="0" applyBorder="1"/>
    <xf numFmtId="168" fontId="2" fillId="0" borderId="0" xfId="1" applyNumberFormat="1" applyFont="1"/>
    <xf numFmtId="168" fontId="2" fillId="0" borderId="2" xfId="1" applyNumberFormat="1" applyFont="1" applyBorder="1"/>
    <xf numFmtId="168" fontId="2" fillId="0" borderId="4" xfId="1" applyNumberFormat="1" applyFont="1" applyBorder="1"/>
    <xf numFmtId="168" fontId="2" fillId="0" borderId="0" xfId="1" applyNumberFormat="1" applyFont="1" applyBorder="1"/>
    <xf numFmtId="168" fontId="19" fillId="0" borderId="0" xfId="1" applyNumberFormat="1" applyFont="1" applyBorder="1"/>
    <xf numFmtId="168" fontId="19" fillId="0" borderId="0" xfId="1" applyNumberFormat="1" applyFont="1"/>
    <xf numFmtId="168" fontId="20" fillId="0" borderId="4" xfId="0" applyNumberFormat="1" applyFont="1" applyBorder="1"/>
    <xf numFmtId="1" fontId="20" fillId="0" borderId="4" xfId="0" applyNumberFormat="1" applyFont="1" applyBorder="1"/>
    <xf numFmtId="166" fontId="19" fillId="0" borderId="0" xfId="3" applyNumberFormat="1" applyFont="1"/>
    <xf numFmtId="168" fontId="2" fillId="0" borderId="0" xfId="1" applyNumberFormat="1" applyFont="1" applyFill="1"/>
    <xf numFmtId="168" fontId="20" fillId="0" borderId="0" xfId="1" applyNumberFormat="1" applyFont="1"/>
    <xf numFmtId="168" fontId="10" fillId="0" borderId="0" xfId="1" applyNumberFormat="1" applyFont="1"/>
    <xf numFmtId="0" fontId="10" fillId="0" borderId="2" xfId="0" applyFont="1" applyBorder="1"/>
    <xf numFmtId="168" fontId="10" fillId="0" borderId="0" xfId="1" applyNumberFormat="1" applyFont="1" applyBorder="1"/>
    <xf numFmtId="168" fontId="18" fillId="0" borderId="0" xfId="1" applyNumberFormat="1" applyFont="1"/>
    <xf numFmtId="168" fontId="10" fillId="0" borderId="2" xfId="1" applyNumberFormat="1" applyFont="1" applyBorder="1"/>
    <xf numFmtId="168" fontId="10" fillId="0" borderId="4" xfId="1" applyNumberFormat="1" applyFont="1" applyBorder="1"/>
    <xf numFmtId="168" fontId="18" fillId="0" borderId="4" xfId="1" applyNumberFormat="1" applyFont="1" applyBorder="1"/>
    <xf numFmtId="168" fontId="18" fillId="0" borderId="2" xfId="1" applyNumberFormat="1" applyFont="1" applyBorder="1"/>
    <xf numFmtId="168" fontId="9" fillId="0" borderId="0" xfId="1" applyNumberFormat="1" applyFont="1"/>
    <xf numFmtId="167" fontId="0" fillId="0" borderId="0" xfId="0" applyNumberFormat="1"/>
    <xf numFmtId="0" fontId="21" fillId="0" borderId="0" xfId="0" applyFont="1"/>
    <xf numFmtId="165" fontId="5" fillId="0" borderId="0" xfId="0" applyNumberFormat="1" applyFont="1"/>
    <xf numFmtId="0" fontId="0" fillId="2" borderId="0" xfId="0" applyFill="1"/>
    <xf numFmtId="167" fontId="0" fillId="2" borderId="0" xfId="2" applyNumberFormat="1" applyFont="1" applyFill="1"/>
    <xf numFmtId="167" fontId="3" fillId="0" borderId="0" xfId="2" applyNumberFormat="1" applyFont="1"/>
    <xf numFmtId="167" fontId="22" fillId="0" borderId="0" xfId="2" applyNumberFormat="1" applyFont="1"/>
    <xf numFmtId="167" fontId="1" fillId="0" borderId="0" xfId="2" applyNumberFormat="1" applyFont="1"/>
    <xf numFmtId="167" fontId="22" fillId="0" borderId="4" xfId="2" applyNumberFormat="1" applyFont="1" applyBorder="1"/>
    <xf numFmtId="167" fontId="22" fillId="0" borderId="3" xfId="2" applyNumberFormat="1" applyFont="1" applyBorder="1"/>
    <xf numFmtId="167" fontId="22" fillId="0" borderId="2" xfId="2" applyNumberFormat="1" applyFont="1" applyBorder="1"/>
    <xf numFmtId="167" fontId="23" fillId="2" borderId="0" xfId="2" applyNumberFormat="1" applyFont="1" applyFill="1"/>
    <xf numFmtId="167" fontId="24" fillId="0" borderId="6" xfId="2" applyNumberFormat="1" applyFont="1" applyBorder="1"/>
    <xf numFmtId="17" fontId="0" fillId="0" borderId="0" xfId="0" applyNumberFormat="1"/>
    <xf numFmtId="0" fontId="0" fillId="0" borderId="0" xfId="0" applyAlignment="1">
      <alignment wrapText="1"/>
    </xf>
    <xf numFmtId="0" fontId="0" fillId="0" borderId="0" xfId="0" quotePrefix="1"/>
    <xf numFmtId="167" fontId="27" fillId="0" borderId="2" xfId="2" applyNumberFormat="1" applyFont="1" applyBorder="1"/>
    <xf numFmtId="166" fontId="22" fillId="0" borderId="0" xfId="3" applyNumberFormat="1" applyFont="1"/>
    <xf numFmtId="167" fontId="27" fillId="0" borderId="0" xfId="2" applyNumberFormat="1" applyFont="1"/>
    <xf numFmtId="164" fontId="22" fillId="0" borderId="0" xfId="0" applyNumberFormat="1" applyFont="1"/>
    <xf numFmtId="164" fontId="22" fillId="0" borderId="2" xfId="0" applyNumberFormat="1" applyFont="1" applyBorder="1"/>
    <xf numFmtId="44" fontId="22" fillId="0" borderId="0" xfId="2" applyFont="1"/>
    <xf numFmtId="167" fontId="23" fillId="0" borderId="0" xfId="2" applyNumberFormat="1" applyFont="1"/>
    <xf numFmtId="167" fontId="27" fillId="0" borderId="0" xfId="2" applyNumberFormat="1" applyFont="1" applyBorder="1"/>
    <xf numFmtId="49" fontId="3" fillId="0" borderId="8" xfId="0" applyNumberFormat="1" applyFont="1" applyBorder="1" applyAlignment="1">
      <alignment horizontal="center"/>
    </xf>
    <xf numFmtId="16" fontId="10" fillId="0" borderId="8" xfId="0" applyNumberFormat="1" applyFont="1" applyBorder="1" applyAlignment="1">
      <alignment horizontal="center"/>
    </xf>
    <xf numFmtId="49" fontId="22" fillId="0" borderId="1" xfId="0" applyNumberFormat="1" applyFont="1" applyBorder="1" applyAlignment="1">
      <alignment horizontal="center"/>
    </xf>
    <xf numFmtId="167" fontId="0" fillId="5" borderId="0" xfId="2" applyNumberFormat="1" applyFont="1" applyFill="1"/>
    <xf numFmtId="167" fontId="28" fillId="5" borderId="0" xfId="2" applyNumberFormat="1" applyFont="1" applyFill="1"/>
    <xf numFmtId="167" fontId="22" fillId="0" borderId="0" xfId="2" applyNumberFormat="1" applyFont="1" applyBorder="1"/>
    <xf numFmtId="167" fontId="27" fillId="3" borderId="2" xfId="2" applyNumberFormat="1" applyFont="1" applyFill="1" applyBorder="1"/>
    <xf numFmtId="167" fontId="22" fillId="3" borderId="0" xfId="2" applyNumberFormat="1" applyFont="1" applyFill="1"/>
    <xf numFmtId="167" fontId="0" fillId="3" borderId="0" xfId="2" applyNumberFormat="1" applyFont="1" applyFill="1"/>
    <xf numFmtId="0" fontId="2" fillId="0" borderId="0" xfId="0" applyFont="1" applyAlignment="1">
      <alignment horizontal="center"/>
    </xf>
    <xf numFmtId="49" fontId="12" fillId="0" borderId="0" xfId="0" applyNumberFormat="1" applyFont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OSHIBA\Documents\BillKirby\10K%20Vmillages%20Planning\Copy%20of%20Inventory%202018-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0">
          <cell r="E20">
            <v>7546.5299999999988</v>
          </cell>
          <cell r="F20">
            <v>11069.469999999994</v>
          </cell>
          <cell r="G20">
            <v>24026.040000000008</v>
          </cell>
          <cell r="H20">
            <v>37334.04</v>
          </cell>
          <cell r="I20">
            <v>19025.499999999985</v>
          </cell>
          <cell r="J20">
            <v>17497.489999999998</v>
          </cell>
          <cell r="K20">
            <v>8039.2099999999919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93"/>
  <sheetViews>
    <sheetView workbookViewId="0">
      <pane xSplit="8" ySplit="2" topLeftCell="I41" activePane="bottomRight" state="frozen"/>
      <selection pane="topRight" activeCell="I1" sqref="I1"/>
      <selection pane="bottomLeft" activeCell="A3" sqref="A3"/>
      <selection pane="bottomRight" activeCell="I56" sqref="I56:T64"/>
    </sheetView>
  </sheetViews>
  <sheetFormatPr defaultColWidth="9.08984375" defaultRowHeight="14.5" x14ac:dyDescent="0.35"/>
  <cols>
    <col min="1" max="7" width="3" style="21" customWidth="1"/>
    <col min="8" max="8" width="18.1796875" style="21" bestFit="1" customWidth="1"/>
    <col min="9" max="11" width="11.36328125" bestFit="1" customWidth="1"/>
    <col min="12" max="20" width="8.54296875" bestFit="1" customWidth="1"/>
    <col min="21" max="21" width="7.81640625" bestFit="1" customWidth="1"/>
    <col min="22" max="22" width="9.54296875" bestFit="1" customWidth="1"/>
    <col min="23" max="23" width="5.6328125" bestFit="1" customWidth="1"/>
    <col min="24" max="24" width="1.1796875" customWidth="1"/>
    <col min="25" max="25" width="2.453125" customWidth="1"/>
    <col min="26" max="26" width="6.36328125" customWidth="1"/>
    <col min="27" max="27" width="2.81640625" customWidth="1"/>
    <col min="28" max="28" width="11.90625" customWidth="1"/>
  </cols>
  <sheetData>
    <row r="1" spans="1:30" ht="15.5" x14ac:dyDescent="0.35">
      <c r="A1" s="148" t="s">
        <v>0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</row>
    <row r="2" spans="1:30" s="5" customFormat="1" ht="15" thickBot="1" x14ac:dyDescent="0.4">
      <c r="A2" s="1"/>
      <c r="B2" s="1"/>
      <c r="C2" s="1"/>
      <c r="D2" s="1"/>
      <c r="E2" s="1"/>
      <c r="F2" s="1"/>
      <c r="G2" s="1"/>
      <c r="H2" s="1"/>
      <c r="I2" s="2" t="s">
        <v>79</v>
      </c>
      <c r="J2" s="2" t="s">
        <v>80</v>
      </c>
      <c r="K2" s="2" t="s">
        <v>81</v>
      </c>
      <c r="L2" s="2" t="s">
        <v>82</v>
      </c>
      <c r="M2" s="3" t="s">
        <v>83</v>
      </c>
      <c r="N2" s="3" t="s">
        <v>84</v>
      </c>
      <c r="O2" s="3" t="s">
        <v>85</v>
      </c>
      <c r="P2" s="3" t="s">
        <v>86</v>
      </c>
      <c r="Q2" s="3" t="s">
        <v>87</v>
      </c>
      <c r="R2" s="3" t="s">
        <v>88</v>
      </c>
      <c r="S2" s="3" t="s">
        <v>89</v>
      </c>
      <c r="T2" s="3" t="s">
        <v>90</v>
      </c>
      <c r="U2" s="2" t="s">
        <v>1</v>
      </c>
    </row>
    <row r="3" spans="1:30" ht="15" thickTop="1" x14ac:dyDescent="0.35">
      <c r="A3" s="6"/>
      <c r="B3" s="6" t="s">
        <v>2</v>
      </c>
      <c r="C3" s="6"/>
      <c r="D3" s="6"/>
      <c r="E3" s="6"/>
      <c r="F3" s="6"/>
      <c r="G3" s="6"/>
      <c r="H3" s="6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4"/>
      <c r="W3" s="4"/>
      <c r="X3" s="4"/>
      <c r="Y3" s="4"/>
      <c r="Z3" s="4"/>
      <c r="AA3" s="4"/>
      <c r="AB3" s="4"/>
      <c r="AC3" s="8"/>
      <c r="AD3" s="5"/>
    </row>
    <row r="4" spans="1:30" x14ac:dyDescent="0.35">
      <c r="A4" s="6"/>
      <c r="B4" s="6"/>
      <c r="C4" s="6"/>
      <c r="D4" s="6" t="s">
        <v>3</v>
      </c>
      <c r="E4" s="6"/>
      <c r="F4" s="6"/>
      <c r="G4" s="6"/>
      <c r="H4" s="6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4"/>
      <c r="W4" s="4"/>
      <c r="X4" s="4"/>
      <c r="Y4" s="4"/>
      <c r="Z4" s="4"/>
      <c r="AA4" s="4"/>
      <c r="AB4" s="4"/>
      <c r="AC4" s="8"/>
    </row>
    <row r="5" spans="1:30" x14ac:dyDescent="0.35">
      <c r="A5" s="6"/>
      <c r="B5" s="6"/>
      <c r="C5" s="6"/>
      <c r="D5" s="6"/>
      <c r="E5" s="6" t="s">
        <v>4</v>
      </c>
      <c r="F5" s="6"/>
      <c r="G5" s="6"/>
      <c r="H5" s="6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4"/>
      <c r="W5" s="4"/>
      <c r="X5" s="4"/>
      <c r="Y5" s="4"/>
      <c r="Z5" s="4"/>
      <c r="AA5" s="4"/>
      <c r="AB5" s="4"/>
      <c r="AC5" s="8"/>
    </row>
    <row r="6" spans="1:30" x14ac:dyDescent="0.35">
      <c r="A6" s="6"/>
      <c r="B6" s="6"/>
      <c r="C6" s="6"/>
      <c r="D6" s="6"/>
      <c r="E6" s="6"/>
      <c r="F6" s="6" t="s">
        <v>5</v>
      </c>
      <c r="G6" s="6"/>
      <c r="H6" s="6"/>
      <c r="I6" s="7">
        <v>18000</v>
      </c>
      <c r="J6" s="7">
        <v>24000</v>
      </c>
      <c r="K6" s="7">
        <v>16500</v>
      </c>
      <c r="L6" s="7">
        <v>18000</v>
      </c>
      <c r="M6" s="7">
        <v>18000</v>
      </c>
      <c r="N6" s="9">
        <v>15900</v>
      </c>
      <c r="O6" s="7">
        <v>22500</v>
      </c>
      <c r="P6" s="7">
        <v>31500</v>
      </c>
      <c r="Q6" s="7">
        <v>91800</v>
      </c>
      <c r="R6" s="7">
        <v>12000</v>
      </c>
      <c r="S6" s="7">
        <v>16800</v>
      </c>
      <c r="T6" s="7">
        <v>15000</v>
      </c>
      <c r="U6" s="7">
        <f>ROUND(SUM(I6:T6),5)</f>
        <v>300000</v>
      </c>
      <c r="V6" s="4"/>
      <c r="W6" s="4"/>
      <c r="X6" s="4"/>
      <c r="Y6" s="4"/>
      <c r="Z6" s="4"/>
      <c r="AA6" s="4"/>
      <c r="AB6" s="4"/>
      <c r="AC6" s="9"/>
    </row>
    <row r="7" spans="1:30" x14ac:dyDescent="0.35">
      <c r="A7" s="6"/>
      <c r="B7" s="6"/>
      <c r="C7" s="6"/>
      <c r="D7" s="6"/>
      <c r="E7" s="6"/>
      <c r="F7" s="6" t="s">
        <v>6</v>
      </c>
      <c r="G7" s="6"/>
      <c r="H7" s="6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4"/>
      <c r="W7" s="4"/>
      <c r="X7" s="4"/>
      <c r="Y7" s="4"/>
      <c r="Z7" s="4"/>
      <c r="AA7" s="4"/>
      <c r="AB7" s="4"/>
      <c r="AC7" s="9"/>
    </row>
    <row r="8" spans="1:30" ht="15" thickBot="1" x14ac:dyDescent="0.4">
      <c r="A8" s="6"/>
      <c r="B8" s="6"/>
      <c r="C8" s="6"/>
      <c r="D8" s="6"/>
      <c r="E8" s="6"/>
      <c r="F8" s="6"/>
      <c r="G8" s="6" t="s">
        <v>7</v>
      </c>
      <c r="H8" s="6"/>
      <c r="I8" s="7">
        <v>0</v>
      </c>
      <c r="J8" s="7">
        <v>0</v>
      </c>
      <c r="K8" s="7">
        <v>0</v>
      </c>
      <c r="L8" s="7">
        <v>0</v>
      </c>
      <c r="M8" s="7">
        <v>0</v>
      </c>
      <c r="N8" s="9">
        <v>0</v>
      </c>
      <c r="O8" s="7">
        <v>1500</v>
      </c>
      <c r="P8" s="7">
        <v>28500</v>
      </c>
      <c r="Q8" s="7">
        <v>5000</v>
      </c>
      <c r="R8" s="7">
        <v>0</v>
      </c>
      <c r="S8" s="10"/>
      <c r="T8" s="10"/>
      <c r="U8" s="7">
        <f>ROUND(SUM(I8:T8),5)</f>
        <v>35000</v>
      </c>
      <c r="V8" s="29"/>
      <c r="W8" s="4"/>
      <c r="X8" s="4"/>
      <c r="Y8" s="4"/>
      <c r="Z8" s="4"/>
      <c r="AA8" s="4"/>
      <c r="AB8" s="4"/>
      <c r="AC8" s="9"/>
    </row>
    <row r="9" spans="1:30" ht="15" thickBot="1" x14ac:dyDescent="0.4">
      <c r="A9" s="6"/>
      <c r="B9" s="6"/>
      <c r="C9" s="6"/>
      <c r="D9" s="6"/>
      <c r="E9" s="6"/>
      <c r="F9" s="6" t="s">
        <v>8</v>
      </c>
      <c r="G9" s="6"/>
      <c r="H9" s="6"/>
      <c r="I9" s="11">
        <f t="shared" ref="I9:T9" si="0">ROUND(SUM(I7:I8),5)</f>
        <v>0</v>
      </c>
      <c r="J9" s="11">
        <f t="shared" si="0"/>
        <v>0</v>
      </c>
      <c r="K9" s="11">
        <f t="shared" si="0"/>
        <v>0</v>
      </c>
      <c r="L9" s="11">
        <f t="shared" si="0"/>
        <v>0</v>
      </c>
      <c r="M9" s="11">
        <f t="shared" si="0"/>
        <v>0</v>
      </c>
      <c r="N9" s="11">
        <f t="shared" si="0"/>
        <v>0</v>
      </c>
      <c r="O9" s="11">
        <f t="shared" si="0"/>
        <v>1500</v>
      </c>
      <c r="P9" s="11">
        <f t="shared" si="0"/>
        <v>28500</v>
      </c>
      <c r="Q9" s="11">
        <f t="shared" si="0"/>
        <v>5000</v>
      </c>
      <c r="R9" s="11">
        <f t="shared" si="0"/>
        <v>0</v>
      </c>
      <c r="S9" s="11">
        <f t="shared" si="0"/>
        <v>0</v>
      </c>
      <c r="T9" s="11">
        <f t="shared" si="0"/>
        <v>0</v>
      </c>
      <c r="U9" s="11">
        <f>ROUND(SUM(I9:T9),5)</f>
        <v>35000</v>
      </c>
      <c r="V9" s="4"/>
      <c r="W9" s="4"/>
      <c r="X9" s="4"/>
      <c r="Y9" s="4"/>
      <c r="Z9" s="4"/>
      <c r="AA9" s="4"/>
      <c r="AB9" s="4"/>
      <c r="AC9" s="12"/>
    </row>
    <row r="10" spans="1:30" ht="15" thickBot="1" x14ac:dyDescent="0.4">
      <c r="A10" s="6"/>
      <c r="B10" s="6"/>
      <c r="C10" s="6"/>
      <c r="D10" s="6"/>
      <c r="E10" s="6" t="s">
        <v>9</v>
      </c>
      <c r="F10" s="6"/>
      <c r="G10" s="6"/>
      <c r="H10" s="6"/>
      <c r="I10" s="13">
        <f t="shared" ref="I10:T10" si="1">ROUND(SUM(I5:I6)+I9,5)</f>
        <v>18000</v>
      </c>
      <c r="J10" s="13">
        <f t="shared" si="1"/>
        <v>24000</v>
      </c>
      <c r="K10" s="13">
        <f t="shared" si="1"/>
        <v>16500</v>
      </c>
      <c r="L10" s="13">
        <f t="shared" si="1"/>
        <v>18000</v>
      </c>
      <c r="M10" s="13">
        <f t="shared" si="1"/>
        <v>18000</v>
      </c>
      <c r="N10" s="13">
        <f t="shared" si="1"/>
        <v>15900</v>
      </c>
      <c r="O10" s="13">
        <f t="shared" si="1"/>
        <v>24000</v>
      </c>
      <c r="P10" s="13">
        <f t="shared" si="1"/>
        <v>60000</v>
      </c>
      <c r="Q10" s="13">
        <f t="shared" si="1"/>
        <v>96800</v>
      </c>
      <c r="R10" s="13">
        <f t="shared" si="1"/>
        <v>12000</v>
      </c>
      <c r="S10" s="13">
        <f t="shared" si="1"/>
        <v>16800</v>
      </c>
      <c r="T10" s="13">
        <f t="shared" si="1"/>
        <v>15000</v>
      </c>
      <c r="U10" s="13">
        <f>ROUND(SUM(I10:T10),5)</f>
        <v>335000</v>
      </c>
      <c r="V10" s="4"/>
      <c r="W10" s="4"/>
      <c r="X10" s="4"/>
      <c r="Y10" s="4"/>
      <c r="Z10" s="4"/>
      <c r="AA10" s="4"/>
      <c r="AB10" s="4"/>
      <c r="AC10" s="14"/>
    </row>
    <row r="11" spans="1:30" x14ac:dyDescent="0.35">
      <c r="A11" s="6"/>
      <c r="B11" s="6"/>
      <c r="C11" s="6"/>
      <c r="D11" s="6" t="s">
        <v>10</v>
      </c>
      <c r="E11" s="6"/>
      <c r="F11" s="6"/>
      <c r="G11" s="6"/>
      <c r="H11" s="6"/>
      <c r="I11" s="7">
        <f t="shared" ref="I11:T11" si="2">ROUND(I4+I10,5)</f>
        <v>18000</v>
      </c>
      <c r="J11" s="7">
        <f t="shared" si="2"/>
        <v>24000</v>
      </c>
      <c r="K11" s="7">
        <f t="shared" si="2"/>
        <v>16500</v>
      </c>
      <c r="L11" s="7">
        <f t="shared" si="2"/>
        <v>18000</v>
      </c>
      <c r="M11" s="7">
        <f t="shared" si="2"/>
        <v>18000</v>
      </c>
      <c r="N11" s="7">
        <f t="shared" si="2"/>
        <v>15900</v>
      </c>
      <c r="O11" s="7">
        <f t="shared" si="2"/>
        <v>24000</v>
      </c>
      <c r="P11" s="7">
        <f t="shared" si="2"/>
        <v>60000</v>
      </c>
      <c r="Q11" s="7">
        <f t="shared" si="2"/>
        <v>96800</v>
      </c>
      <c r="R11" s="7">
        <f t="shared" si="2"/>
        <v>12000</v>
      </c>
      <c r="S11" s="7">
        <f t="shared" si="2"/>
        <v>16800</v>
      </c>
      <c r="T11" s="7">
        <f t="shared" si="2"/>
        <v>15000</v>
      </c>
      <c r="U11" s="7">
        <f>ROUND(SUM(I11:T11),5)</f>
        <v>335000</v>
      </c>
      <c r="V11" s="4"/>
      <c r="W11" s="4"/>
      <c r="X11" s="4"/>
      <c r="Y11" s="4"/>
      <c r="Z11" s="4"/>
      <c r="AA11" s="4"/>
      <c r="AB11" s="4"/>
      <c r="AC11" s="9"/>
    </row>
    <row r="12" spans="1:30" x14ac:dyDescent="0.35">
      <c r="A12" s="6"/>
      <c r="B12" s="6"/>
      <c r="C12" s="6"/>
      <c r="D12" s="6" t="s">
        <v>11</v>
      </c>
      <c r="E12" s="6"/>
      <c r="F12" s="6"/>
      <c r="G12" s="6"/>
      <c r="H12" s="6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4"/>
      <c r="W12" s="4"/>
      <c r="X12" s="4"/>
      <c r="Y12" s="4"/>
      <c r="Z12" s="4"/>
      <c r="AA12" s="4"/>
      <c r="AB12" s="4"/>
      <c r="AC12" s="9"/>
    </row>
    <row r="13" spans="1:30" x14ac:dyDescent="0.35">
      <c r="A13" s="6"/>
      <c r="B13" s="6"/>
      <c r="C13" s="6"/>
      <c r="D13" s="6"/>
      <c r="E13" s="6" t="s">
        <v>12</v>
      </c>
      <c r="F13" s="6"/>
      <c r="G13" s="6"/>
      <c r="H13" s="6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4"/>
      <c r="W13" s="4"/>
      <c r="X13" s="4"/>
      <c r="Y13" s="4"/>
      <c r="Z13" s="4"/>
      <c r="AA13" s="4"/>
      <c r="AB13" s="4"/>
      <c r="AC13" s="9"/>
    </row>
    <row r="14" spans="1:30" ht="15" thickBot="1" x14ac:dyDescent="0.4">
      <c r="A14" s="6"/>
      <c r="B14" s="6"/>
      <c r="C14" s="6"/>
      <c r="D14" s="6"/>
      <c r="E14" s="6"/>
      <c r="F14" s="6" t="s">
        <v>13</v>
      </c>
      <c r="G14" s="6"/>
      <c r="H14" s="6"/>
      <c r="I14" s="7">
        <v>8500</v>
      </c>
      <c r="J14" s="7">
        <v>11200</v>
      </c>
      <c r="K14" s="7">
        <v>7900</v>
      </c>
      <c r="L14" s="7">
        <v>9036</v>
      </c>
      <c r="M14" s="7">
        <v>8500</v>
      </c>
      <c r="N14" s="9">
        <v>7500</v>
      </c>
      <c r="O14" s="7">
        <v>10900</v>
      </c>
      <c r="P14" s="7">
        <v>29000</v>
      </c>
      <c r="Q14" s="7">
        <v>46000</v>
      </c>
      <c r="R14" s="7">
        <v>5700</v>
      </c>
      <c r="S14" s="7">
        <v>6000</v>
      </c>
      <c r="T14" s="7">
        <v>6000</v>
      </c>
      <c r="U14" s="7">
        <f>ROUND(SUM(I14:T14),5)</f>
        <v>156236</v>
      </c>
      <c r="V14" s="4"/>
      <c r="W14" s="4"/>
      <c r="X14" s="4"/>
      <c r="Y14" s="4"/>
      <c r="Z14" s="4"/>
      <c r="AA14" s="4"/>
      <c r="AB14" s="4"/>
      <c r="AC14" s="9"/>
    </row>
    <row r="15" spans="1:30" ht="15" thickBot="1" x14ac:dyDescent="0.4">
      <c r="A15" s="6"/>
      <c r="B15" s="6"/>
      <c r="C15" s="6"/>
      <c r="D15" s="6"/>
      <c r="E15" s="6"/>
      <c r="F15" s="6" t="s">
        <v>14</v>
      </c>
      <c r="G15" s="6"/>
      <c r="H15" s="6"/>
      <c r="I15" s="7">
        <v>-162.36000000000001</v>
      </c>
      <c r="J15" s="7"/>
      <c r="K15" s="7">
        <v>0</v>
      </c>
      <c r="L15" s="7">
        <v>-160.06</v>
      </c>
      <c r="M15" s="7">
        <v>0</v>
      </c>
      <c r="N15" s="7">
        <v>0</v>
      </c>
      <c r="O15" s="7">
        <v>-164.04</v>
      </c>
      <c r="P15" s="7">
        <v>-663.13</v>
      </c>
      <c r="Q15" s="7">
        <v>-105.79</v>
      </c>
      <c r="R15" s="7">
        <v>0</v>
      </c>
      <c r="S15" s="7">
        <v>0</v>
      </c>
      <c r="T15" s="7">
        <v>0</v>
      </c>
      <c r="U15" s="7">
        <f>ROUND(SUM(I15:T15),5)</f>
        <v>-1255.3800000000001</v>
      </c>
      <c r="V15" s="4"/>
      <c r="W15" s="4"/>
      <c r="X15" s="4"/>
      <c r="Y15" s="4"/>
      <c r="Z15" s="4"/>
      <c r="AA15" s="4"/>
      <c r="AB15" s="4"/>
      <c r="AC15" s="12"/>
    </row>
    <row r="16" spans="1:30" ht="15" thickBot="1" x14ac:dyDescent="0.4">
      <c r="A16" s="6"/>
      <c r="B16" s="6"/>
      <c r="C16" s="6"/>
      <c r="D16" s="6"/>
      <c r="E16" s="6" t="s">
        <v>15</v>
      </c>
      <c r="F16" s="6"/>
      <c r="G16" s="6"/>
      <c r="H16" s="6"/>
      <c r="I16" s="11">
        <f t="shared" ref="I16:T16" si="3">ROUND(SUM(I13:I15),5)</f>
        <v>8337.64</v>
      </c>
      <c r="J16" s="11">
        <f t="shared" si="3"/>
        <v>11200</v>
      </c>
      <c r="K16" s="11">
        <f t="shared" si="3"/>
        <v>7900</v>
      </c>
      <c r="L16" s="11">
        <f t="shared" si="3"/>
        <v>8875.94</v>
      </c>
      <c r="M16" s="11">
        <f t="shared" si="3"/>
        <v>8500</v>
      </c>
      <c r="N16" s="11">
        <f t="shared" si="3"/>
        <v>7500</v>
      </c>
      <c r="O16" s="11">
        <f t="shared" si="3"/>
        <v>10735.96</v>
      </c>
      <c r="P16" s="11">
        <f t="shared" si="3"/>
        <v>28336.87</v>
      </c>
      <c r="Q16" s="11">
        <f t="shared" si="3"/>
        <v>45894.21</v>
      </c>
      <c r="R16" s="11">
        <f t="shared" si="3"/>
        <v>5700</v>
      </c>
      <c r="S16" s="11">
        <f t="shared" si="3"/>
        <v>6000</v>
      </c>
      <c r="T16" s="11">
        <f t="shared" si="3"/>
        <v>6000</v>
      </c>
      <c r="U16" s="11">
        <f>ROUND(SUM(I16:T16),5)</f>
        <v>154980.62</v>
      </c>
      <c r="V16" s="4"/>
      <c r="W16" s="4"/>
      <c r="X16" s="4"/>
      <c r="Y16" s="4"/>
      <c r="Z16" s="4"/>
      <c r="AA16" s="4"/>
      <c r="AB16" s="4"/>
      <c r="AC16" s="14"/>
    </row>
    <row r="17" spans="1:29" ht="15" thickBot="1" x14ac:dyDescent="0.4">
      <c r="A17" s="6"/>
      <c r="B17" s="6"/>
      <c r="C17" s="6"/>
      <c r="D17" s="6" t="s">
        <v>16</v>
      </c>
      <c r="E17" s="6"/>
      <c r="F17" s="6"/>
      <c r="G17" s="6"/>
      <c r="H17" s="6"/>
      <c r="I17" s="13">
        <f t="shared" ref="I17:T17" si="4">ROUND(I12+I16,5)</f>
        <v>8337.64</v>
      </c>
      <c r="J17" s="13">
        <f t="shared" si="4"/>
        <v>11200</v>
      </c>
      <c r="K17" s="13">
        <f t="shared" si="4"/>
        <v>7900</v>
      </c>
      <c r="L17" s="13">
        <f t="shared" si="4"/>
        <v>8875.94</v>
      </c>
      <c r="M17" s="13">
        <f t="shared" si="4"/>
        <v>8500</v>
      </c>
      <c r="N17" s="13">
        <f t="shared" si="4"/>
        <v>7500</v>
      </c>
      <c r="O17" s="13">
        <f t="shared" si="4"/>
        <v>10735.96</v>
      </c>
      <c r="P17" s="13">
        <f t="shared" si="4"/>
        <v>28336.87</v>
      </c>
      <c r="Q17" s="13">
        <f t="shared" si="4"/>
        <v>45894.21</v>
      </c>
      <c r="R17" s="13">
        <f t="shared" si="4"/>
        <v>5700</v>
      </c>
      <c r="S17" s="13">
        <f t="shared" si="4"/>
        <v>6000</v>
      </c>
      <c r="T17" s="13">
        <f t="shared" si="4"/>
        <v>6000</v>
      </c>
      <c r="U17" s="13">
        <f>ROUND(SUM(I17:T17),5)</f>
        <v>154980.62</v>
      </c>
      <c r="V17" s="4"/>
      <c r="W17" s="4"/>
      <c r="X17" s="4"/>
      <c r="Y17" s="4"/>
      <c r="Z17" s="4"/>
      <c r="AA17" s="4"/>
      <c r="AB17" s="4"/>
      <c r="AC17" s="9"/>
    </row>
    <row r="18" spans="1:29" x14ac:dyDescent="0.35">
      <c r="A18" s="6"/>
      <c r="B18" s="6"/>
      <c r="C18" s="6" t="s">
        <v>17</v>
      </c>
      <c r="D18" s="6"/>
      <c r="E18" s="6"/>
      <c r="F18" s="6"/>
      <c r="G18" s="6"/>
      <c r="H18" s="6"/>
      <c r="I18" s="7">
        <f t="shared" ref="I18:T18" si="5">ROUND(I11-I17,5)</f>
        <v>9662.36</v>
      </c>
      <c r="J18" s="7">
        <f t="shared" si="5"/>
        <v>12800</v>
      </c>
      <c r="K18" s="7">
        <f t="shared" si="5"/>
        <v>8600</v>
      </c>
      <c r="L18" s="7">
        <f t="shared" si="5"/>
        <v>9124.06</v>
      </c>
      <c r="M18" s="7">
        <f t="shared" si="5"/>
        <v>9500</v>
      </c>
      <c r="N18" s="7">
        <f t="shared" si="5"/>
        <v>8400</v>
      </c>
      <c r="O18" s="7">
        <f t="shared" si="5"/>
        <v>13264.04</v>
      </c>
      <c r="P18" s="7">
        <f t="shared" si="5"/>
        <v>31663.13</v>
      </c>
      <c r="Q18" s="7">
        <f t="shared" si="5"/>
        <v>50905.79</v>
      </c>
      <c r="R18" s="7">
        <f t="shared" si="5"/>
        <v>6300</v>
      </c>
      <c r="S18" s="7">
        <f t="shared" si="5"/>
        <v>10800</v>
      </c>
      <c r="T18" s="7">
        <f t="shared" si="5"/>
        <v>9000</v>
      </c>
      <c r="U18" s="7">
        <f>ROUND(SUM(I18:T18),5)</f>
        <v>180019.38</v>
      </c>
      <c r="V18" s="4"/>
      <c r="W18" s="4"/>
      <c r="X18" s="4"/>
      <c r="Y18" s="4"/>
      <c r="Z18" s="4"/>
      <c r="AA18" s="4"/>
      <c r="AB18" s="4"/>
      <c r="AC18" s="9"/>
    </row>
    <row r="19" spans="1:29" x14ac:dyDescent="0.35">
      <c r="A19" s="6"/>
      <c r="B19" s="6"/>
      <c r="C19" s="6"/>
      <c r="D19" s="6"/>
      <c r="E19" s="6"/>
      <c r="F19" s="6"/>
      <c r="G19" s="6"/>
      <c r="H19" s="6"/>
      <c r="I19" s="15">
        <f t="shared" ref="I19:R19" si="6">+I18/I11</f>
        <v>0.53679777777777782</v>
      </c>
      <c r="J19" s="15">
        <f t="shared" si="6"/>
        <v>0.53333333333333333</v>
      </c>
      <c r="K19" s="15">
        <f t="shared" si="6"/>
        <v>0.52121212121212124</v>
      </c>
      <c r="L19" s="15">
        <f t="shared" si="6"/>
        <v>0.50689222222222219</v>
      </c>
      <c r="M19" s="15">
        <f t="shared" si="6"/>
        <v>0.52777777777777779</v>
      </c>
      <c r="N19" s="15">
        <f t="shared" si="6"/>
        <v>0.52830188679245282</v>
      </c>
      <c r="O19" s="15">
        <f t="shared" si="6"/>
        <v>0.55266833333333332</v>
      </c>
      <c r="P19" s="15">
        <f t="shared" si="6"/>
        <v>0.52771883333333336</v>
      </c>
      <c r="Q19" s="15">
        <f t="shared" si="6"/>
        <v>0.5258862603305785</v>
      </c>
      <c r="R19" s="15">
        <f t="shared" si="6"/>
        <v>0.52500000000000002</v>
      </c>
      <c r="S19" s="15">
        <v>0.53</v>
      </c>
      <c r="T19" s="15">
        <v>0.53</v>
      </c>
      <c r="U19" s="15">
        <f>+U18/U11</f>
        <v>0.53737128358208952</v>
      </c>
      <c r="V19" s="4"/>
      <c r="W19" s="4"/>
      <c r="X19" s="4"/>
      <c r="Y19" s="4"/>
      <c r="Z19" s="4"/>
      <c r="AA19" s="4"/>
      <c r="AB19" s="4"/>
      <c r="AC19" s="9"/>
    </row>
    <row r="20" spans="1:29" x14ac:dyDescent="0.35">
      <c r="A20" s="6"/>
      <c r="B20" s="6"/>
      <c r="C20" s="6"/>
      <c r="D20" s="6" t="s">
        <v>18</v>
      </c>
      <c r="E20" s="6"/>
      <c r="F20" s="6"/>
      <c r="G20" s="6"/>
      <c r="H20" s="6"/>
      <c r="I20" s="7"/>
      <c r="J20" s="7"/>
      <c r="K20" s="7"/>
      <c r="L20" s="7"/>
      <c r="M20" s="7"/>
      <c r="N20" s="7"/>
      <c r="O20" s="16"/>
      <c r="P20" s="16"/>
      <c r="Q20" s="16"/>
      <c r="R20" s="7"/>
      <c r="S20" s="7"/>
      <c r="T20" s="7"/>
      <c r="U20" s="7"/>
      <c r="V20" s="4"/>
      <c r="W20" s="4"/>
      <c r="X20" s="4"/>
      <c r="Y20" s="4"/>
      <c r="Z20" s="4"/>
      <c r="AA20" s="4"/>
      <c r="AB20" s="4"/>
      <c r="AC20" s="9"/>
    </row>
    <row r="21" spans="1:29" x14ac:dyDescent="0.35">
      <c r="A21" s="6"/>
      <c r="B21" s="6"/>
      <c r="C21" s="6"/>
      <c r="D21" s="6"/>
      <c r="E21" s="6" t="s">
        <v>19</v>
      </c>
      <c r="F21" s="6"/>
      <c r="G21" s="6"/>
      <c r="H21" s="6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4"/>
      <c r="W21" s="4"/>
      <c r="X21" s="4"/>
      <c r="Y21" s="4"/>
      <c r="Z21" s="4"/>
      <c r="AA21" s="4"/>
      <c r="AB21" s="4"/>
      <c r="AC21" s="9"/>
    </row>
    <row r="22" spans="1:29" x14ac:dyDescent="0.35">
      <c r="A22" s="6"/>
      <c r="B22" s="6"/>
      <c r="C22" s="6"/>
      <c r="D22" s="6"/>
      <c r="E22" s="6"/>
      <c r="F22" s="6" t="s">
        <v>20</v>
      </c>
      <c r="G22" s="6"/>
      <c r="H22" s="6"/>
      <c r="I22" s="7"/>
      <c r="J22" s="7"/>
      <c r="K22" s="7"/>
      <c r="L22" s="7"/>
      <c r="M22" s="7"/>
      <c r="N22" s="7"/>
      <c r="O22" s="7"/>
      <c r="P22" s="7"/>
      <c r="Q22" s="7"/>
      <c r="S22" s="7"/>
      <c r="T22" s="7"/>
      <c r="U22" s="7"/>
      <c r="V22" s="4"/>
      <c r="W22" s="4"/>
      <c r="X22" s="4"/>
      <c r="Y22" s="4"/>
      <c r="Z22" s="4"/>
      <c r="AA22" s="4"/>
      <c r="AB22" s="4"/>
      <c r="AC22" s="9"/>
    </row>
    <row r="23" spans="1:29" x14ac:dyDescent="0.35">
      <c r="A23" s="6"/>
      <c r="B23" s="6"/>
      <c r="C23" s="6"/>
      <c r="D23" s="6"/>
      <c r="E23" s="6"/>
      <c r="F23" s="6"/>
      <c r="G23" s="6" t="s">
        <v>21</v>
      </c>
      <c r="H23" s="6"/>
      <c r="I23" s="7">
        <v>3750</v>
      </c>
      <c r="J23" s="7">
        <v>3000</v>
      </c>
      <c r="K23" s="7">
        <v>3000</v>
      </c>
      <c r="L23" s="7">
        <v>3750</v>
      </c>
      <c r="M23" s="7">
        <v>3000</v>
      </c>
      <c r="N23" s="9">
        <v>3000</v>
      </c>
      <c r="O23" s="7">
        <v>3750</v>
      </c>
      <c r="P23" s="7">
        <v>3000</v>
      </c>
      <c r="Q23" s="7">
        <v>3000</v>
      </c>
      <c r="R23" s="7">
        <v>3750</v>
      </c>
      <c r="S23" s="7">
        <v>3000</v>
      </c>
      <c r="T23" s="7">
        <v>3000</v>
      </c>
      <c r="U23" s="7">
        <f t="shared" ref="U23:U38" si="7">ROUND(SUM(I23:T23),5)</f>
        <v>39000</v>
      </c>
      <c r="V23" s="4"/>
      <c r="W23" s="4"/>
      <c r="X23" s="4"/>
      <c r="Y23" s="4"/>
      <c r="Z23" s="4"/>
      <c r="AA23" s="4"/>
      <c r="AB23" s="4"/>
      <c r="AC23" s="9"/>
    </row>
    <row r="24" spans="1:29" x14ac:dyDescent="0.35">
      <c r="A24" s="6"/>
      <c r="B24" s="6"/>
      <c r="C24" s="6"/>
      <c r="D24" s="6"/>
      <c r="E24" s="6"/>
      <c r="F24" s="6"/>
      <c r="G24" s="6" t="s">
        <v>22</v>
      </c>
      <c r="H24" s="6"/>
      <c r="I24" s="7">
        <v>2400</v>
      </c>
      <c r="J24" s="7">
        <v>1920</v>
      </c>
      <c r="K24" s="7">
        <v>1920</v>
      </c>
      <c r="L24" s="7">
        <v>2400</v>
      </c>
      <c r="M24" s="7">
        <v>1920</v>
      </c>
      <c r="N24" s="9">
        <v>1920</v>
      </c>
      <c r="O24" s="7">
        <v>2400</v>
      </c>
      <c r="P24" s="7">
        <v>2560</v>
      </c>
      <c r="Q24" s="7">
        <v>2560</v>
      </c>
      <c r="R24" s="7">
        <v>1920</v>
      </c>
      <c r="S24" s="7">
        <v>1920</v>
      </c>
      <c r="T24" s="7">
        <v>1920</v>
      </c>
      <c r="U24" s="7">
        <f t="shared" si="7"/>
        <v>25760</v>
      </c>
      <c r="V24" s="4"/>
      <c r="W24" s="4"/>
      <c r="X24" s="4"/>
      <c r="Y24" s="4"/>
      <c r="Z24" s="4"/>
      <c r="AA24" s="4"/>
      <c r="AB24" s="4"/>
      <c r="AC24" s="9"/>
    </row>
    <row r="25" spans="1:29" x14ac:dyDescent="0.35">
      <c r="A25" s="6"/>
      <c r="B25" s="6"/>
      <c r="C25" s="6"/>
      <c r="D25" s="6"/>
      <c r="E25" s="6"/>
      <c r="F25" s="6"/>
      <c r="G25" s="6"/>
      <c r="H25" s="6" t="s">
        <v>23</v>
      </c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>
        <f t="shared" si="7"/>
        <v>0</v>
      </c>
      <c r="V25" s="4"/>
      <c r="W25" s="4"/>
      <c r="X25" s="4"/>
      <c r="Y25" s="4"/>
      <c r="Z25" s="4"/>
      <c r="AA25" s="4"/>
      <c r="AB25" s="4"/>
      <c r="AC25" s="9"/>
    </row>
    <row r="26" spans="1:29" ht="15" thickBot="1" x14ac:dyDescent="0.4">
      <c r="A26" s="6"/>
      <c r="B26" s="6"/>
      <c r="C26" s="6"/>
      <c r="D26" s="6"/>
      <c r="E26" s="6"/>
      <c r="F26" s="6"/>
      <c r="G26" s="6" t="s">
        <v>24</v>
      </c>
      <c r="H26" s="6"/>
      <c r="I26" s="7">
        <v>278.32</v>
      </c>
      <c r="J26" s="7">
        <v>428.21</v>
      </c>
      <c r="K26" s="7">
        <v>406.57</v>
      </c>
      <c r="L26" s="7">
        <v>379.12</v>
      </c>
      <c r="M26" s="7">
        <v>105.06</v>
      </c>
      <c r="N26" s="9">
        <v>208.32</v>
      </c>
      <c r="O26" s="7">
        <v>247.81</v>
      </c>
      <c r="P26" s="7">
        <v>390.09</v>
      </c>
      <c r="Q26" s="7">
        <v>798.34</v>
      </c>
      <c r="R26" s="7">
        <v>387.73</v>
      </c>
      <c r="S26" s="7">
        <v>366</v>
      </c>
      <c r="T26" s="7">
        <v>366</v>
      </c>
      <c r="U26" s="7">
        <f t="shared" si="7"/>
        <v>4361.57</v>
      </c>
      <c r="V26" s="4"/>
      <c r="W26" s="4"/>
      <c r="X26" s="4"/>
      <c r="Y26" s="4"/>
      <c r="Z26" s="4"/>
      <c r="AA26" s="4"/>
      <c r="AB26" s="4"/>
      <c r="AC26" s="17"/>
    </row>
    <row r="27" spans="1:29" x14ac:dyDescent="0.35">
      <c r="A27" s="6"/>
      <c r="B27" s="6"/>
      <c r="C27" s="6"/>
      <c r="D27" s="6"/>
      <c r="E27" s="6"/>
      <c r="F27" s="6"/>
      <c r="G27" s="6" t="s">
        <v>25</v>
      </c>
      <c r="H27" s="6"/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960</v>
      </c>
      <c r="P27" s="7">
        <v>960</v>
      </c>
      <c r="Q27" s="7">
        <v>1200</v>
      </c>
      <c r="R27" s="7">
        <v>500</v>
      </c>
      <c r="S27" s="7">
        <v>0</v>
      </c>
      <c r="T27" s="7">
        <v>0</v>
      </c>
      <c r="U27" s="7">
        <f t="shared" si="7"/>
        <v>3620</v>
      </c>
      <c r="V27" s="4"/>
      <c r="W27" s="4"/>
      <c r="X27" s="4"/>
      <c r="Y27" s="4"/>
      <c r="Z27" s="4"/>
      <c r="AA27" s="4"/>
      <c r="AB27" s="4"/>
      <c r="AC27" s="9"/>
    </row>
    <row r="28" spans="1:29" x14ac:dyDescent="0.35">
      <c r="A28" s="6"/>
      <c r="B28" s="6"/>
      <c r="C28" s="6"/>
      <c r="D28" s="6"/>
      <c r="E28" s="6"/>
      <c r="F28" s="6"/>
      <c r="G28" s="6" t="s">
        <v>26</v>
      </c>
      <c r="H28" s="6"/>
      <c r="I28" s="7">
        <f t="shared" ref="I28:T28" si="8">SUM(I23:I27)*0.077</f>
        <v>494.98063999999999</v>
      </c>
      <c r="J28" s="7">
        <f t="shared" si="8"/>
        <v>411.81216999999998</v>
      </c>
      <c r="K28" s="7">
        <f t="shared" si="8"/>
        <v>410.14588999999995</v>
      </c>
      <c r="L28" s="7">
        <f t="shared" si="8"/>
        <v>502.74223999999998</v>
      </c>
      <c r="M28" s="7">
        <f t="shared" si="8"/>
        <v>386.92962</v>
      </c>
      <c r="N28" s="7">
        <f t="shared" si="8"/>
        <v>394.88063999999997</v>
      </c>
      <c r="O28" s="7">
        <f t="shared" si="8"/>
        <v>566.55137000000002</v>
      </c>
      <c r="P28" s="7">
        <f t="shared" si="8"/>
        <v>532.07692999999995</v>
      </c>
      <c r="Q28" s="7">
        <f t="shared" si="8"/>
        <v>581.99217999999996</v>
      </c>
      <c r="R28" s="7">
        <f t="shared" si="8"/>
        <v>504.94520999999997</v>
      </c>
      <c r="S28" s="7">
        <f t="shared" si="8"/>
        <v>407.02199999999999</v>
      </c>
      <c r="T28" s="7">
        <f t="shared" si="8"/>
        <v>407.02199999999999</v>
      </c>
      <c r="U28" s="7">
        <f t="shared" si="7"/>
        <v>5601.1008899999997</v>
      </c>
      <c r="V28" s="4"/>
      <c r="W28" s="4"/>
      <c r="X28" s="4"/>
      <c r="Y28" s="4"/>
      <c r="Z28" s="4"/>
      <c r="AA28" s="4"/>
      <c r="AB28" s="4"/>
      <c r="AC28" s="9"/>
    </row>
    <row r="29" spans="1:29" ht="15" thickBot="1" x14ac:dyDescent="0.4">
      <c r="A29" s="6"/>
      <c r="B29" s="6"/>
      <c r="C29" s="6"/>
      <c r="D29" s="6"/>
      <c r="E29" s="6"/>
      <c r="F29" s="6"/>
      <c r="G29" s="6" t="s">
        <v>27</v>
      </c>
      <c r="H29" s="6"/>
      <c r="I29" s="10">
        <v>55</v>
      </c>
      <c r="J29" s="10">
        <v>55</v>
      </c>
      <c r="K29" s="10">
        <v>55</v>
      </c>
      <c r="L29" s="10">
        <v>55</v>
      </c>
      <c r="M29" s="10">
        <v>55</v>
      </c>
      <c r="N29" s="10">
        <v>55</v>
      </c>
      <c r="O29" s="10">
        <v>55</v>
      </c>
      <c r="P29" s="10">
        <v>55</v>
      </c>
      <c r="Q29" s="10">
        <v>55</v>
      </c>
      <c r="R29" s="10">
        <v>55</v>
      </c>
      <c r="S29" s="10">
        <v>55</v>
      </c>
      <c r="T29" s="10">
        <v>55</v>
      </c>
      <c r="U29" s="10">
        <f t="shared" si="7"/>
        <v>660</v>
      </c>
      <c r="V29" s="4"/>
      <c r="W29" s="4"/>
      <c r="X29" s="4"/>
      <c r="Y29" s="4"/>
      <c r="Z29" s="4"/>
      <c r="AA29" s="4"/>
      <c r="AB29" s="4"/>
      <c r="AC29" s="9"/>
    </row>
    <row r="30" spans="1:29" x14ac:dyDescent="0.35">
      <c r="A30" s="6"/>
      <c r="B30" s="6"/>
      <c r="C30" s="6"/>
      <c r="D30" s="6"/>
      <c r="E30" s="6"/>
      <c r="F30" s="6" t="s">
        <v>28</v>
      </c>
      <c r="G30" s="6"/>
      <c r="H30" s="6"/>
      <c r="I30" s="7">
        <f t="shared" ref="I30:Q30" si="9">ROUND(SUM(I22:I29),5)</f>
        <v>6978.3006400000004</v>
      </c>
      <c r="J30" s="7">
        <f t="shared" si="9"/>
        <v>5815.0221700000002</v>
      </c>
      <c r="K30" s="7">
        <f t="shared" si="9"/>
        <v>5791.7158900000004</v>
      </c>
      <c r="L30" s="7">
        <f t="shared" si="9"/>
        <v>7086.8622400000004</v>
      </c>
      <c r="M30" s="7">
        <f t="shared" si="9"/>
        <v>5466.9896200000003</v>
      </c>
      <c r="N30" s="7">
        <f t="shared" si="9"/>
        <v>5578.20064</v>
      </c>
      <c r="O30" s="7">
        <f t="shared" si="9"/>
        <v>7979.3613699999996</v>
      </c>
      <c r="P30" s="7">
        <f t="shared" si="9"/>
        <v>7497.1669300000003</v>
      </c>
      <c r="Q30" s="7">
        <f t="shared" si="9"/>
        <v>8195.3321799999994</v>
      </c>
      <c r="R30" s="7">
        <f>ROUND(SUM(R21:R29),5)</f>
        <v>7117.6752100000003</v>
      </c>
      <c r="S30" s="7">
        <f>ROUND(SUM(S22:S29),5)</f>
        <v>5748.0219999999999</v>
      </c>
      <c r="T30" s="7">
        <f>ROUND(SUM(T22:T29),5)</f>
        <v>5748.0219999999999</v>
      </c>
      <c r="U30" s="7">
        <f t="shared" si="7"/>
        <v>79002.670889999994</v>
      </c>
      <c r="V30" s="4"/>
      <c r="W30" s="4"/>
      <c r="X30" s="4"/>
      <c r="Y30" s="4"/>
      <c r="Z30" s="4"/>
      <c r="AA30" s="4"/>
      <c r="AB30" s="4"/>
      <c r="AC30" s="9"/>
    </row>
    <row r="31" spans="1:29" x14ac:dyDescent="0.35">
      <c r="A31" s="6"/>
      <c r="B31" s="6"/>
      <c r="C31" s="6"/>
      <c r="D31" s="6"/>
      <c r="E31" s="6"/>
      <c r="F31" s="6" t="s">
        <v>29</v>
      </c>
      <c r="G31" s="6"/>
      <c r="H31" s="6"/>
      <c r="I31" s="7">
        <v>1000</v>
      </c>
      <c r="J31" s="7">
        <v>1200</v>
      </c>
      <c r="K31" s="7">
        <v>300</v>
      </c>
      <c r="L31" s="7">
        <v>300</v>
      </c>
      <c r="M31" s="7">
        <v>500</v>
      </c>
      <c r="N31" s="7">
        <v>600</v>
      </c>
      <c r="O31" s="7">
        <v>600</v>
      </c>
      <c r="P31" s="7">
        <v>3000</v>
      </c>
      <c r="Q31" s="7">
        <v>3000</v>
      </c>
      <c r="R31" s="7">
        <v>500</v>
      </c>
      <c r="S31" s="7">
        <v>420</v>
      </c>
      <c r="T31" s="7">
        <v>600</v>
      </c>
      <c r="U31" s="7">
        <f t="shared" si="7"/>
        <v>12020</v>
      </c>
      <c r="V31" s="4"/>
      <c r="W31" s="4"/>
      <c r="X31" s="4"/>
      <c r="Y31" s="4"/>
      <c r="Z31" s="4"/>
      <c r="AA31" s="4"/>
      <c r="AB31" s="4"/>
      <c r="AC31" s="9"/>
    </row>
    <row r="32" spans="1:29" x14ac:dyDescent="0.35">
      <c r="A32" s="6"/>
      <c r="B32" s="6"/>
      <c r="C32" s="6"/>
      <c r="D32" s="6"/>
      <c r="E32" s="6"/>
      <c r="F32" s="6" t="s">
        <v>30</v>
      </c>
      <c r="G32" s="6"/>
      <c r="H32" s="6"/>
      <c r="I32" s="7">
        <f t="shared" ref="I32:T32" si="10">+I11*0.0195</f>
        <v>351</v>
      </c>
      <c r="J32" s="7">
        <f t="shared" si="10"/>
        <v>468</v>
      </c>
      <c r="K32" s="7">
        <f t="shared" si="10"/>
        <v>321.75</v>
      </c>
      <c r="L32" s="7">
        <f t="shared" si="10"/>
        <v>351</v>
      </c>
      <c r="M32" s="7">
        <f t="shared" si="10"/>
        <v>351</v>
      </c>
      <c r="N32" s="7">
        <f t="shared" si="10"/>
        <v>310.05</v>
      </c>
      <c r="O32" s="7">
        <f t="shared" si="10"/>
        <v>468</v>
      </c>
      <c r="P32" s="7">
        <f t="shared" si="10"/>
        <v>1170</v>
      </c>
      <c r="Q32" s="7">
        <f t="shared" si="10"/>
        <v>1887.6</v>
      </c>
      <c r="R32" s="7">
        <f t="shared" si="10"/>
        <v>234</v>
      </c>
      <c r="S32" s="7">
        <f t="shared" si="10"/>
        <v>327.60000000000002</v>
      </c>
      <c r="T32" s="7">
        <f t="shared" si="10"/>
        <v>292.5</v>
      </c>
      <c r="U32" s="7">
        <f t="shared" si="7"/>
        <v>6532.5</v>
      </c>
      <c r="V32" s="4"/>
      <c r="W32" s="4"/>
      <c r="X32" s="4"/>
      <c r="Y32" s="4"/>
      <c r="Z32" s="4"/>
      <c r="AA32" s="4"/>
      <c r="AB32" s="4"/>
      <c r="AC32" s="9"/>
    </row>
    <row r="33" spans="1:29" ht="15" thickBot="1" x14ac:dyDescent="0.4">
      <c r="A33" s="6"/>
      <c r="B33" s="6"/>
      <c r="C33" s="6"/>
      <c r="D33" s="6"/>
      <c r="E33" s="6"/>
      <c r="F33" s="6" t="s">
        <v>31</v>
      </c>
      <c r="G33" s="6"/>
      <c r="H33" s="6"/>
      <c r="I33" s="7">
        <v>0</v>
      </c>
      <c r="J33" s="7">
        <v>0</v>
      </c>
      <c r="K33" s="7">
        <v>898</v>
      </c>
      <c r="L33" s="7">
        <v>0</v>
      </c>
      <c r="M33" s="7">
        <v>0</v>
      </c>
      <c r="N33" s="7">
        <v>0</v>
      </c>
      <c r="O33" s="7">
        <v>2132</v>
      </c>
      <c r="P33" s="7">
        <v>85</v>
      </c>
      <c r="Q33" s="7">
        <v>1393</v>
      </c>
      <c r="R33" s="7">
        <v>0</v>
      </c>
      <c r="S33" s="7"/>
      <c r="T33" s="7"/>
      <c r="U33" s="7">
        <f t="shared" si="7"/>
        <v>4508</v>
      </c>
      <c r="V33" s="4"/>
      <c r="W33" s="4"/>
      <c r="X33" s="4"/>
      <c r="Y33" s="4"/>
      <c r="Z33" s="4"/>
      <c r="AA33" s="4"/>
      <c r="AB33" s="4"/>
      <c r="AC33" s="17"/>
    </row>
    <row r="34" spans="1:29" x14ac:dyDescent="0.35">
      <c r="A34" s="6"/>
      <c r="B34" s="6"/>
      <c r="C34" s="6"/>
      <c r="D34" s="6"/>
      <c r="E34" s="6"/>
      <c r="F34" s="6" t="s">
        <v>32</v>
      </c>
      <c r="G34" s="6"/>
      <c r="H34" s="6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>
        <f t="shared" si="7"/>
        <v>0</v>
      </c>
      <c r="V34" s="4"/>
      <c r="W34" s="4"/>
      <c r="X34" s="4"/>
      <c r="Y34" s="4"/>
      <c r="Z34" s="4"/>
      <c r="AA34" s="4"/>
      <c r="AB34" s="4"/>
      <c r="AC34" s="9"/>
    </row>
    <row r="35" spans="1:29" x14ac:dyDescent="0.35">
      <c r="A35" s="6"/>
      <c r="B35" s="6"/>
      <c r="C35" s="6"/>
      <c r="D35" s="6"/>
      <c r="E35" s="6"/>
      <c r="F35" s="6"/>
      <c r="G35" s="6" t="s">
        <v>33</v>
      </c>
      <c r="H35" s="6"/>
      <c r="I35" s="7">
        <v>25</v>
      </c>
      <c r="J35" s="7">
        <v>25</v>
      </c>
      <c r="K35" s="7">
        <v>25</v>
      </c>
      <c r="L35" s="7">
        <v>25</v>
      </c>
      <c r="M35" s="7">
        <v>25</v>
      </c>
      <c r="N35" s="7">
        <v>25</v>
      </c>
      <c r="O35" s="7">
        <v>25</v>
      </c>
      <c r="P35" s="7">
        <v>25</v>
      </c>
      <c r="Q35" s="7">
        <v>25</v>
      </c>
      <c r="R35" s="7">
        <v>25</v>
      </c>
      <c r="S35" s="7">
        <v>25</v>
      </c>
      <c r="T35" s="7">
        <v>25</v>
      </c>
      <c r="U35" s="7">
        <f t="shared" si="7"/>
        <v>300</v>
      </c>
      <c r="V35" s="4"/>
      <c r="W35" s="4"/>
      <c r="X35" s="4"/>
      <c r="Y35" s="4"/>
      <c r="Z35" s="4"/>
      <c r="AA35" s="4"/>
      <c r="AB35" s="4"/>
      <c r="AC35" s="9"/>
    </row>
    <row r="36" spans="1:29" x14ac:dyDescent="0.35">
      <c r="A36" s="6"/>
      <c r="B36" s="6"/>
      <c r="C36" s="6"/>
      <c r="D36" s="6"/>
      <c r="E36" s="6"/>
      <c r="F36" s="6"/>
      <c r="G36" s="6" t="s">
        <v>34</v>
      </c>
      <c r="H36" s="6"/>
      <c r="I36" s="7">
        <v>0</v>
      </c>
      <c r="J36" s="7">
        <v>0</v>
      </c>
      <c r="K36" s="7">
        <v>95.03</v>
      </c>
      <c r="L36" s="7">
        <v>145</v>
      </c>
      <c r="M36" s="7">
        <v>0</v>
      </c>
      <c r="N36" s="7"/>
      <c r="O36" s="7">
        <v>0</v>
      </c>
      <c r="P36" s="7">
        <v>0</v>
      </c>
      <c r="Q36" s="7">
        <v>0</v>
      </c>
      <c r="R36" s="7">
        <v>0</v>
      </c>
      <c r="S36" s="7">
        <v>0</v>
      </c>
      <c r="T36" s="7">
        <v>0</v>
      </c>
      <c r="U36" s="7">
        <f t="shared" si="7"/>
        <v>240.03</v>
      </c>
      <c r="V36" s="4"/>
      <c r="W36" s="4"/>
      <c r="X36" s="4"/>
      <c r="Y36" s="4"/>
      <c r="Z36" s="4"/>
      <c r="AA36" s="4"/>
      <c r="AB36" s="4"/>
      <c r="AC36" s="9"/>
    </row>
    <row r="37" spans="1:29" ht="15" thickBot="1" x14ac:dyDescent="0.4">
      <c r="A37" s="6"/>
      <c r="B37" s="6"/>
      <c r="C37" s="6"/>
      <c r="D37" s="6"/>
      <c r="E37" s="6"/>
      <c r="F37" s="6"/>
      <c r="G37" s="6" t="s">
        <v>35</v>
      </c>
      <c r="H37" s="6"/>
      <c r="I37" s="10">
        <v>188.98</v>
      </c>
      <c r="J37" s="10">
        <v>69</v>
      </c>
      <c r="K37" s="10">
        <v>954</v>
      </c>
      <c r="L37" s="10">
        <v>58.94</v>
      </c>
      <c r="M37" s="10">
        <v>240</v>
      </c>
      <c r="N37" s="10">
        <v>0</v>
      </c>
      <c r="O37" s="10">
        <v>69</v>
      </c>
      <c r="P37" s="10">
        <v>69</v>
      </c>
      <c r="Q37" s="10">
        <v>69</v>
      </c>
      <c r="R37" s="18">
        <v>69</v>
      </c>
      <c r="S37" s="10">
        <v>166</v>
      </c>
      <c r="T37" s="10">
        <v>250</v>
      </c>
      <c r="U37" s="10">
        <f t="shared" si="7"/>
        <v>2202.92</v>
      </c>
      <c r="V37" s="4"/>
      <c r="W37" s="4"/>
      <c r="X37" s="4"/>
      <c r="Y37" s="4"/>
      <c r="Z37" s="4"/>
      <c r="AA37" s="4"/>
      <c r="AB37" s="4"/>
      <c r="AC37" s="9"/>
    </row>
    <row r="38" spans="1:29" x14ac:dyDescent="0.35">
      <c r="A38" s="6"/>
      <c r="B38" s="6"/>
      <c r="C38" s="6"/>
      <c r="D38" s="6"/>
      <c r="E38" s="6"/>
      <c r="F38" s="6" t="s">
        <v>36</v>
      </c>
      <c r="G38" s="6"/>
      <c r="H38" s="6"/>
      <c r="I38" s="7">
        <f t="shared" ref="I38:T38" si="11">ROUND(SUM(I34:I37),5)</f>
        <v>213.98</v>
      </c>
      <c r="J38" s="7">
        <f t="shared" si="11"/>
        <v>94</v>
      </c>
      <c r="K38" s="7">
        <f t="shared" si="11"/>
        <v>1074.03</v>
      </c>
      <c r="L38" s="7">
        <f t="shared" si="11"/>
        <v>228.94</v>
      </c>
      <c r="M38" s="7">
        <f t="shared" si="11"/>
        <v>265</v>
      </c>
      <c r="N38" s="7">
        <f t="shared" si="11"/>
        <v>25</v>
      </c>
      <c r="O38" s="7">
        <f t="shared" si="11"/>
        <v>94</v>
      </c>
      <c r="P38" s="7">
        <f t="shared" si="11"/>
        <v>94</v>
      </c>
      <c r="Q38" s="7">
        <f t="shared" si="11"/>
        <v>94</v>
      </c>
      <c r="R38" s="7">
        <f t="shared" si="11"/>
        <v>94</v>
      </c>
      <c r="S38" s="7">
        <f t="shared" si="11"/>
        <v>191</v>
      </c>
      <c r="T38" s="7">
        <f t="shared" si="11"/>
        <v>275</v>
      </c>
      <c r="U38" s="7">
        <f t="shared" si="7"/>
        <v>2742.95</v>
      </c>
      <c r="V38" s="4"/>
      <c r="W38" s="4"/>
      <c r="X38" s="4"/>
      <c r="Y38" s="4"/>
      <c r="Z38" s="4"/>
      <c r="AA38" s="4"/>
      <c r="AB38" s="4"/>
      <c r="AC38" s="9"/>
    </row>
    <row r="39" spans="1:29" x14ac:dyDescent="0.35">
      <c r="A39" s="6"/>
      <c r="B39" s="6"/>
      <c r="C39" s="6"/>
      <c r="D39" s="6"/>
      <c r="E39" s="6"/>
      <c r="F39" s="6" t="s">
        <v>37</v>
      </c>
      <c r="G39" s="6"/>
      <c r="H39" s="6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4"/>
      <c r="W39" s="4"/>
      <c r="X39" s="4"/>
      <c r="Y39" s="4"/>
      <c r="Z39" s="4"/>
      <c r="AA39" s="4"/>
      <c r="AB39" s="4"/>
      <c r="AC39" s="9"/>
    </row>
    <row r="40" spans="1:29" x14ac:dyDescent="0.35">
      <c r="A40" s="6"/>
      <c r="B40" s="6"/>
      <c r="C40" s="6"/>
      <c r="D40" s="6"/>
      <c r="E40" s="6"/>
      <c r="F40" s="6"/>
      <c r="G40" s="6" t="s">
        <v>38</v>
      </c>
      <c r="H40" s="6"/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/>
      <c r="O40" s="7">
        <v>0</v>
      </c>
      <c r="P40" s="7">
        <v>0</v>
      </c>
      <c r="Q40" s="7">
        <v>0</v>
      </c>
      <c r="R40" s="7">
        <v>0</v>
      </c>
      <c r="S40" s="7">
        <v>0</v>
      </c>
      <c r="T40" s="7">
        <v>0</v>
      </c>
      <c r="U40" s="7">
        <f t="shared" ref="U40:U65" si="12">ROUND(SUM(I40:T40),5)</f>
        <v>0</v>
      </c>
      <c r="V40" s="4"/>
      <c r="W40" s="4"/>
      <c r="X40" s="4"/>
      <c r="Y40" s="4"/>
      <c r="Z40" s="4"/>
      <c r="AA40" s="4"/>
      <c r="AB40" s="4"/>
      <c r="AC40" s="9"/>
    </row>
    <row r="41" spans="1:29" ht="15" thickBot="1" x14ac:dyDescent="0.4">
      <c r="A41" s="6"/>
      <c r="B41" s="6"/>
      <c r="C41" s="6"/>
      <c r="D41" s="6"/>
      <c r="E41" s="6"/>
      <c r="F41" s="6"/>
      <c r="G41" s="6" t="s">
        <v>39</v>
      </c>
      <c r="H41" s="6"/>
      <c r="I41" s="10">
        <v>5927</v>
      </c>
      <c r="J41" s="10">
        <v>5927</v>
      </c>
      <c r="K41" s="10">
        <v>5927</v>
      </c>
      <c r="L41" s="10">
        <v>5927</v>
      </c>
      <c r="M41" s="10">
        <v>5927</v>
      </c>
      <c r="N41" s="10">
        <v>5927</v>
      </c>
      <c r="O41" s="10">
        <v>5927</v>
      </c>
      <c r="P41" s="10">
        <v>5927</v>
      </c>
      <c r="Q41" s="10">
        <v>5927</v>
      </c>
      <c r="R41" s="10">
        <v>5927</v>
      </c>
      <c r="S41" s="10">
        <v>5927</v>
      </c>
      <c r="T41" s="10">
        <v>5927</v>
      </c>
      <c r="U41" s="10">
        <f t="shared" si="12"/>
        <v>71124</v>
      </c>
      <c r="V41" s="4"/>
      <c r="W41" s="4"/>
      <c r="X41" s="4"/>
      <c r="Y41" s="4"/>
      <c r="Z41" s="4"/>
      <c r="AA41" s="4"/>
      <c r="AB41" s="4"/>
      <c r="AC41" s="9"/>
    </row>
    <row r="42" spans="1:29" x14ac:dyDescent="0.35">
      <c r="A42" s="6"/>
      <c r="B42" s="6"/>
      <c r="C42" s="6"/>
      <c r="D42" s="6"/>
      <c r="E42" s="6"/>
      <c r="F42" s="6" t="s">
        <v>40</v>
      </c>
      <c r="G42" s="6"/>
      <c r="H42" s="6"/>
      <c r="I42" s="7">
        <f t="shared" ref="I42:R42" si="13">ROUND(SUM(I39:I41),5)</f>
        <v>5927</v>
      </c>
      <c r="J42" s="7">
        <f t="shared" si="13"/>
        <v>5927</v>
      </c>
      <c r="K42" s="7">
        <f t="shared" si="13"/>
        <v>5927</v>
      </c>
      <c r="L42" s="7">
        <f t="shared" si="13"/>
        <v>5927</v>
      </c>
      <c r="M42" s="7">
        <f t="shared" si="13"/>
        <v>5927</v>
      </c>
      <c r="N42" s="7">
        <f t="shared" si="13"/>
        <v>5927</v>
      </c>
      <c r="O42" s="7">
        <f t="shared" si="13"/>
        <v>5927</v>
      </c>
      <c r="P42" s="7">
        <f t="shared" si="13"/>
        <v>5927</v>
      </c>
      <c r="Q42" s="7">
        <f t="shared" si="13"/>
        <v>5927</v>
      </c>
      <c r="R42" s="7">
        <f t="shared" si="13"/>
        <v>5927</v>
      </c>
      <c r="S42" s="7">
        <f t="shared" ref="S42" si="14">ROUND(SUM(S39:S41),5)</f>
        <v>5927</v>
      </c>
      <c r="T42" s="7">
        <f t="shared" ref="T42" si="15">ROUND(SUM(T39:T41),5)</f>
        <v>5927</v>
      </c>
      <c r="U42" s="7">
        <f t="shared" si="12"/>
        <v>71124</v>
      </c>
      <c r="V42" s="4"/>
      <c r="W42" s="4"/>
      <c r="X42" s="4"/>
      <c r="Y42" s="4"/>
      <c r="Z42" s="4"/>
      <c r="AA42" s="4"/>
      <c r="AB42" s="4"/>
      <c r="AC42" s="9"/>
    </row>
    <row r="43" spans="1:29" x14ac:dyDescent="0.35">
      <c r="A43" s="6"/>
      <c r="B43" s="6"/>
      <c r="C43" s="6"/>
      <c r="D43" s="6"/>
      <c r="E43" s="6"/>
      <c r="F43" s="6" t="s">
        <v>41</v>
      </c>
      <c r="G43" s="6"/>
      <c r="H43" s="6"/>
      <c r="I43" s="7">
        <v>46</v>
      </c>
      <c r="J43" s="7">
        <v>46.08</v>
      </c>
      <c r="K43" s="7">
        <v>46</v>
      </c>
      <c r="L43" s="7">
        <v>49.33</v>
      </c>
      <c r="M43" s="7">
        <v>46</v>
      </c>
      <c r="N43" s="7">
        <v>49</v>
      </c>
      <c r="O43" s="7">
        <v>46.08</v>
      </c>
      <c r="P43" s="7">
        <v>130</v>
      </c>
      <c r="Q43" s="7">
        <v>49.33</v>
      </c>
      <c r="R43" s="7">
        <v>130</v>
      </c>
      <c r="S43" s="7">
        <v>130</v>
      </c>
      <c r="T43" s="7">
        <v>46</v>
      </c>
      <c r="U43" s="7">
        <f t="shared" si="12"/>
        <v>813.82</v>
      </c>
      <c r="V43" s="4"/>
      <c r="W43" s="4"/>
      <c r="X43" s="4"/>
      <c r="Y43" s="4"/>
      <c r="Z43" s="4"/>
      <c r="AA43" s="4"/>
      <c r="AB43" s="4"/>
      <c r="AC43" s="9"/>
    </row>
    <row r="44" spans="1:29" x14ac:dyDescent="0.35">
      <c r="A44" s="6"/>
      <c r="B44" s="6"/>
      <c r="C44" s="6"/>
      <c r="D44" s="6"/>
      <c r="E44" s="6"/>
      <c r="F44" s="6" t="s">
        <v>42</v>
      </c>
      <c r="G44" s="6"/>
      <c r="H44" s="6"/>
      <c r="I44" s="7">
        <v>600</v>
      </c>
      <c r="J44" s="7">
        <v>169.8</v>
      </c>
      <c r="K44" s="7">
        <v>535.94000000000005</v>
      </c>
      <c r="L44" s="7">
        <v>12.25</v>
      </c>
      <c r="M44" s="7">
        <v>30.95</v>
      </c>
      <c r="N44" s="7">
        <v>16</v>
      </c>
      <c r="O44" s="7">
        <v>45.57</v>
      </c>
      <c r="P44" s="7">
        <v>402.48</v>
      </c>
      <c r="Q44" s="7">
        <v>476.82</v>
      </c>
      <c r="R44" s="7">
        <v>38.270000000000003</v>
      </c>
      <c r="S44" s="7">
        <v>203</v>
      </c>
      <c r="T44" s="7">
        <v>17</v>
      </c>
      <c r="U44" s="7">
        <f t="shared" si="12"/>
        <v>2548.08</v>
      </c>
      <c r="V44" s="4"/>
      <c r="W44" s="4"/>
      <c r="X44" s="4"/>
      <c r="Y44" s="4"/>
      <c r="Z44" s="4"/>
      <c r="AA44" s="4"/>
      <c r="AB44" s="4"/>
      <c r="AC44" s="9"/>
    </row>
    <row r="45" spans="1:29" ht="15" thickBot="1" x14ac:dyDescent="0.4">
      <c r="A45" s="6"/>
      <c r="B45" s="6"/>
      <c r="C45" s="6"/>
      <c r="D45" s="6"/>
      <c r="E45" s="6"/>
      <c r="F45" s="6" t="s">
        <v>43</v>
      </c>
      <c r="G45" s="6"/>
      <c r="H45" s="6"/>
      <c r="I45" s="7">
        <v>40.85</v>
      </c>
      <c r="J45" s="7">
        <v>29.92</v>
      </c>
      <c r="K45" s="7">
        <v>0</v>
      </c>
      <c r="L45" s="7">
        <v>289.45</v>
      </c>
      <c r="M45" s="7">
        <v>293.27999999999997</v>
      </c>
      <c r="N45" s="7">
        <v>97</v>
      </c>
      <c r="O45" s="7">
        <v>187.7</v>
      </c>
      <c r="P45" s="7">
        <v>46.7</v>
      </c>
      <c r="Q45" s="7">
        <v>46.7</v>
      </c>
      <c r="R45" s="7">
        <v>208.68</v>
      </c>
      <c r="S45" s="7">
        <v>0</v>
      </c>
      <c r="T45" s="7">
        <v>0</v>
      </c>
      <c r="U45" s="7">
        <f t="shared" si="12"/>
        <v>1240.28</v>
      </c>
      <c r="V45" s="4"/>
      <c r="W45" s="4"/>
      <c r="X45" s="4"/>
      <c r="Y45" s="4"/>
      <c r="Z45" s="4"/>
      <c r="AA45" s="4"/>
      <c r="AB45" s="4"/>
      <c r="AC45" s="17"/>
    </row>
    <row r="46" spans="1:29" x14ac:dyDescent="0.35">
      <c r="A46" s="6"/>
      <c r="B46" s="6"/>
      <c r="C46" s="6"/>
      <c r="D46" s="6"/>
      <c r="E46" s="6"/>
      <c r="F46" s="6" t="s">
        <v>44</v>
      </c>
      <c r="G46" s="6"/>
      <c r="H46" s="6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>
        <f t="shared" si="12"/>
        <v>0</v>
      </c>
      <c r="V46" s="4"/>
      <c r="W46" s="4"/>
      <c r="X46" s="4"/>
      <c r="Y46" s="4"/>
      <c r="Z46" s="4"/>
      <c r="AA46" s="4"/>
      <c r="AB46" s="4"/>
      <c r="AC46" s="9"/>
    </row>
    <row r="47" spans="1:29" x14ac:dyDescent="0.35">
      <c r="A47" s="6"/>
      <c r="B47" s="6"/>
      <c r="C47" s="6"/>
      <c r="D47" s="6"/>
      <c r="E47" s="6"/>
      <c r="F47" s="6"/>
      <c r="G47" s="6" t="s">
        <v>45</v>
      </c>
      <c r="H47" s="6"/>
      <c r="I47" s="7">
        <v>60</v>
      </c>
      <c r="J47" s="7">
        <v>60</v>
      </c>
      <c r="K47" s="7">
        <v>60</v>
      </c>
      <c r="L47" s="7">
        <v>60</v>
      </c>
      <c r="M47" s="7">
        <v>60</v>
      </c>
      <c r="N47" s="7">
        <v>60</v>
      </c>
      <c r="O47" s="7">
        <v>60</v>
      </c>
      <c r="P47" s="7">
        <v>60</v>
      </c>
      <c r="Q47" s="7">
        <v>60</v>
      </c>
      <c r="R47" s="7">
        <v>60</v>
      </c>
      <c r="S47" s="7">
        <v>60</v>
      </c>
      <c r="T47" s="7">
        <v>60</v>
      </c>
      <c r="U47" s="7">
        <f t="shared" si="12"/>
        <v>720</v>
      </c>
      <c r="V47" s="4"/>
      <c r="W47" s="4"/>
      <c r="X47" s="4"/>
      <c r="Y47" s="4"/>
      <c r="Z47" s="4"/>
      <c r="AA47" s="4"/>
      <c r="AB47" s="4"/>
      <c r="AC47" s="9"/>
    </row>
    <row r="48" spans="1:29" x14ac:dyDescent="0.35">
      <c r="A48" s="6"/>
      <c r="B48" s="6"/>
      <c r="C48" s="6"/>
      <c r="D48" s="6"/>
      <c r="E48" s="6"/>
      <c r="F48" s="6"/>
      <c r="G48" s="6" t="s">
        <v>46</v>
      </c>
      <c r="H48" s="6"/>
      <c r="I48" s="7">
        <v>251.44</v>
      </c>
      <c r="J48" s="7">
        <v>493.32</v>
      </c>
      <c r="K48" s="7">
        <v>455</v>
      </c>
      <c r="L48" s="7">
        <v>400</v>
      </c>
      <c r="M48" s="7">
        <v>400</v>
      </c>
      <c r="N48" s="7">
        <v>300</v>
      </c>
      <c r="O48" s="7">
        <v>600</v>
      </c>
      <c r="P48" s="7">
        <v>500</v>
      </c>
      <c r="Q48" s="7">
        <v>200</v>
      </c>
      <c r="R48" s="7">
        <v>200</v>
      </c>
      <c r="S48" s="7">
        <v>200</v>
      </c>
      <c r="T48" s="7">
        <v>200</v>
      </c>
      <c r="U48" s="7">
        <f t="shared" si="12"/>
        <v>4199.76</v>
      </c>
      <c r="V48" s="4"/>
      <c r="W48" s="4"/>
      <c r="X48" s="4"/>
      <c r="Y48" s="4"/>
      <c r="Z48" s="4"/>
      <c r="AA48" s="4"/>
      <c r="AB48" s="4"/>
      <c r="AC48" s="9"/>
    </row>
    <row r="49" spans="1:34" x14ac:dyDescent="0.35">
      <c r="A49" s="6"/>
      <c r="B49" s="6"/>
      <c r="C49" s="6"/>
      <c r="D49" s="6"/>
      <c r="E49" s="6"/>
      <c r="F49" s="6"/>
      <c r="G49" s="6" t="s">
        <v>47</v>
      </c>
      <c r="H49" s="6"/>
      <c r="I49" s="7">
        <v>50</v>
      </c>
      <c r="J49" s="7">
        <v>50</v>
      </c>
      <c r="K49" s="7">
        <v>49.92</v>
      </c>
      <c r="L49" s="7">
        <v>49.92</v>
      </c>
      <c r="M49" s="7">
        <v>0</v>
      </c>
      <c r="N49" s="7">
        <v>50</v>
      </c>
      <c r="O49" s="7">
        <v>49.92</v>
      </c>
      <c r="P49" s="7">
        <v>124.25</v>
      </c>
      <c r="Q49" s="7">
        <v>200</v>
      </c>
      <c r="R49" s="7">
        <v>200</v>
      </c>
      <c r="S49" s="7">
        <v>200</v>
      </c>
      <c r="T49" s="7">
        <v>200</v>
      </c>
      <c r="U49" s="7">
        <f t="shared" si="12"/>
        <v>1224.01</v>
      </c>
      <c r="V49" s="4"/>
      <c r="W49" s="4"/>
      <c r="X49" s="4"/>
      <c r="Y49" s="4"/>
      <c r="Z49" s="4"/>
      <c r="AA49" s="4"/>
      <c r="AB49" s="4"/>
      <c r="AC49" s="9"/>
    </row>
    <row r="50" spans="1:34" x14ac:dyDescent="0.35">
      <c r="A50" s="6"/>
      <c r="B50" s="6"/>
      <c r="C50" s="6"/>
      <c r="D50" s="6"/>
      <c r="E50" s="6"/>
      <c r="F50" s="6"/>
      <c r="G50" s="6" t="s">
        <v>48</v>
      </c>
      <c r="H50" s="6"/>
      <c r="I50" s="7">
        <v>15.79</v>
      </c>
      <c r="J50" s="7">
        <v>10</v>
      </c>
      <c r="K50" s="7">
        <v>10</v>
      </c>
      <c r="L50" s="7">
        <v>9.75</v>
      </c>
      <c r="M50" s="7">
        <v>5.5</v>
      </c>
      <c r="N50" s="7">
        <v>6</v>
      </c>
      <c r="O50" s="7">
        <v>2.77</v>
      </c>
      <c r="P50" s="7">
        <v>4.55</v>
      </c>
      <c r="Q50" s="7">
        <v>5.2</v>
      </c>
      <c r="R50" s="7">
        <v>5.04</v>
      </c>
      <c r="S50" s="7">
        <v>15</v>
      </c>
      <c r="T50" s="7">
        <v>15</v>
      </c>
      <c r="U50" s="7">
        <f t="shared" si="12"/>
        <v>104.6</v>
      </c>
      <c r="V50" s="4"/>
      <c r="W50" s="4"/>
      <c r="X50" s="4"/>
      <c r="Y50" s="4"/>
      <c r="Z50" s="4"/>
      <c r="AA50" s="4"/>
      <c r="AB50" s="4"/>
      <c r="AC50" s="9"/>
    </row>
    <row r="51" spans="1:34" x14ac:dyDescent="0.35">
      <c r="A51" s="6"/>
      <c r="B51" s="6"/>
      <c r="C51" s="6"/>
      <c r="D51" s="6"/>
      <c r="E51" s="6"/>
      <c r="F51" s="6"/>
      <c r="G51" s="6" t="s">
        <v>49</v>
      </c>
      <c r="H51" s="6"/>
      <c r="I51" s="7">
        <v>104</v>
      </c>
      <c r="J51" s="7">
        <v>100</v>
      </c>
      <c r="K51" s="7">
        <v>76.900000000000006</v>
      </c>
      <c r="L51" s="7">
        <v>100</v>
      </c>
      <c r="M51" s="7">
        <v>59.95</v>
      </c>
      <c r="N51" s="7">
        <v>60</v>
      </c>
      <c r="O51" s="7">
        <v>62.69</v>
      </c>
      <c r="P51" s="7">
        <v>61.53</v>
      </c>
      <c r="Q51" s="7">
        <v>59.95</v>
      </c>
      <c r="R51" s="7">
        <v>62.53</v>
      </c>
      <c r="S51" s="7">
        <v>60</v>
      </c>
      <c r="T51" s="7">
        <v>60</v>
      </c>
      <c r="U51" s="7">
        <f t="shared" si="12"/>
        <v>867.55</v>
      </c>
      <c r="V51" s="4"/>
      <c r="W51" s="4"/>
      <c r="X51" s="4"/>
      <c r="Y51" s="4"/>
      <c r="Z51" s="4"/>
      <c r="AA51" s="4"/>
      <c r="AB51" s="4"/>
      <c r="AC51" s="9"/>
    </row>
    <row r="52" spans="1:34" ht="15" thickBot="1" x14ac:dyDescent="0.4">
      <c r="A52" s="6"/>
      <c r="B52" s="6"/>
      <c r="C52" s="6"/>
      <c r="D52" s="6"/>
      <c r="E52" s="6"/>
      <c r="F52" s="6"/>
      <c r="G52" s="6" t="s">
        <v>50</v>
      </c>
      <c r="H52" s="6"/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  <c r="P52" s="10">
        <v>0</v>
      </c>
      <c r="Q52" s="10">
        <v>0</v>
      </c>
      <c r="R52" s="10">
        <v>0</v>
      </c>
      <c r="S52" s="10">
        <v>0</v>
      </c>
      <c r="T52" s="10">
        <v>0</v>
      </c>
      <c r="U52" s="10">
        <f t="shared" si="12"/>
        <v>0</v>
      </c>
      <c r="V52" s="4"/>
      <c r="W52" s="4"/>
      <c r="X52" s="4"/>
      <c r="Y52" s="4"/>
      <c r="Z52" s="4"/>
      <c r="AA52" s="4"/>
      <c r="AB52" s="4"/>
      <c r="AC52" s="17"/>
    </row>
    <row r="53" spans="1:34" x14ac:dyDescent="0.35">
      <c r="A53" s="6"/>
      <c r="B53" s="6"/>
      <c r="C53" s="6"/>
      <c r="D53" s="6"/>
      <c r="E53" s="6"/>
      <c r="F53" s="6" t="s">
        <v>51</v>
      </c>
      <c r="G53" s="6"/>
      <c r="H53" s="6"/>
      <c r="I53" s="7">
        <f t="shared" ref="I53:T53" si="16">ROUND(SUM(I46:I52),5)</f>
        <v>481.23</v>
      </c>
      <c r="J53" s="7">
        <f t="shared" si="16"/>
        <v>713.32</v>
      </c>
      <c r="K53" s="7">
        <f t="shared" si="16"/>
        <v>651.82000000000005</v>
      </c>
      <c r="L53" s="7">
        <f t="shared" si="16"/>
        <v>619.66999999999996</v>
      </c>
      <c r="M53" s="7">
        <f t="shared" si="16"/>
        <v>525.45000000000005</v>
      </c>
      <c r="N53" s="7">
        <f t="shared" si="16"/>
        <v>476</v>
      </c>
      <c r="O53" s="7">
        <f t="shared" si="16"/>
        <v>775.38</v>
      </c>
      <c r="P53" s="7">
        <f t="shared" si="16"/>
        <v>750.33</v>
      </c>
      <c r="Q53" s="7">
        <f t="shared" si="16"/>
        <v>525.15</v>
      </c>
      <c r="R53" s="7">
        <f t="shared" si="16"/>
        <v>527.57000000000005</v>
      </c>
      <c r="S53" s="7">
        <f t="shared" si="16"/>
        <v>535</v>
      </c>
      <c r="T53" s="7">
        <f t="shared" si="16"/>
        <v>535</v>
      </c>
      <c r="U53" s="7">
        <f t="shared" si="12"/>
        <v>7115.92</v>
      </c>
      <c r="V53" s="4"/>
      <c r="W53" s="4"/>
      <c r="X53" s="4"/>
      <c r="Y53" s="4"/>
      <c r="Z53" s="4"/>
      <c r="AA53" s="4"/>
      <c r="AB53" s="4"/>
      <c r="AC53" s="9"/>
    </row>
    <row r="54" spans="1:34" x14ac:dyDescent="0.35">
      <c r="A54" s="6"/>
      <c r="B54" s="6"/>
      <c r="C54" s="6"/>
      <c r="D54" s="6"/>
      <c r="E54" s="6"/>
      <c r="F54" s="6" t="s">
        <v>52</v>
      </c>
      <c r="G54" s="6"/>
      <c r="H54" s="6"/>
      <c r="I54" s="7">
        <v>0</v>
      </c>
      <c r="J54" s="7">
        <v>150</v>
      </c>
      <c r="K54" s="7">
        <v>140</v>
      </c>
      <c r="L54" s="7">
        <v>169.95</v>
      </c>
      <c r="M54" s="7">
        <v>100</v>
      </c>
      <c r="N54" s="7">
        <v>250</v>
      </c>
      <c r="O54" s="7">
        <v>282.98</v>
      </c>
      <c r="P54" s="7">
        <v>504.57</v>
      </c>
      <c r="Q54" s="7">
        <v>0</v>
      </c>
      <c r="R54" s="7">
        <v>0</v>
      </c>
      <c r="S54" s="7">
        <v>0</v>
      </c>
      <c r="T54" s="7">
        <v>0</v>
      </c>
      <c r="U54" s="7">
        <f t="shared" si="12"/>
        <v>1597.5</v>
      </c>
      <c r="V54" s="4"/>
      <c r="W54" s="4"/>
      <c r="X54" s="4"/>
      <c r="Y54" s="19"/>
      <c r="Z54" s="19"/>
      <c r="AA54" s="19"/>
      <c r="AB54" s="19"/>
      <c r="AC54" s="20"/>
    </row>
    <row r="55" spans="1:34" x14ac:dyDescent="0.35">
      <c r="A55" s="6"/>
      <c r="B55" s="6"/>
      <c r="C55" s="6"/>
      <c r="D55" s="6"/>
      <c r="E55" s="6"/>
      <c r="F55" s="6" t="s">
        <v>53</v>
      </c>
      <c r="G55" s="6"/>
      <c r="H55" s="6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>
        <f t="shared" si="12"/>
        <v>0</v>
      </c>
      <c r="V55" s="4"/>
      <c r="W55" s="4"/>
      <c r="X55" s="4"/>
      <c r="Y55" s="4"/>
      <c r="Z55" s="4"/>
      <c r="AA55" s="4"/>
      <c r="AB55" s="4"/>
      <c r="AC55" s="9"/>
    </row>
    <row r="56" spans="1:34" x14ac:dyDescent="0.35">
      <c r="A56" s="6"/>
      <c r="B56" s="6"/>
      <c r="C56" s="6"/>
      <c r="D56" s="6"/>
      <c r="E56" s="6"/>
      <c r="F56" s="6"/>
      <c r="G56" s="6" t="s">
        <v>54</v>
      </c>
      <c r="H56" s="6"/>
      <c r="I56" s="7">
        <v>57.96</v>
      </c>
      <c r="J56" s="7">
        <v>7.64</v>
      </c>
      <c r="K56" s="7">
        <v>0</v>
      </c>
      <c r="L56" s="7">
        <v>100</v>
      </c>
      <c r="M56" s="7">
        <v>100</v>
      </c>
      <c r="N56" s="7">
        <v>100</v>
      </c>
      <c r="O56" s="7">
        <v>66.94</v>
      </c>
      <c r="P56" s="7">
        <v>124.18</v>
      </c>
      <c r="Q56" s="7">
        <v>19.63</v>
      </c>
      <c r="R56" s="7">
        <v>100</v>
      </c>
      <c r="S56" s="7">
        <v>100</v>
      </c>
      <c r="T56" s="7">
        <v>100</v>
      </c>
      <c r="U56" s="7">
        <f t="shared" si="12"/>
        <v>876.35</v>
      </c>
      <c r="V56" s="4"/>
      <c r="W56" s="4"/>
      <c r="X56" s="4"/>
      <c r="Y56" s="4"/>
      <c r="Z56" s="4"/>
      <c r="AA56" s="4"/>
      <c r="AB56" s="4"/>
      <c r="AC56" s="9"/>
    </row>
    <row r="57" spans="1:34" ht="15" thickBot="1" x14ac:dyDescent="0.4">
      <c r="A57" s="6"/>
      <c r="B57" s="6"/>
      <c r="C57" s="6"/>
      <c r="D57" s="6"/>
      <c r="E57" s="6"/>
      <c r="F57" s="6"/>
      <c r="G57" s="6" t="s">
        <v>55</v>
      </c>
      <c r="H57" s="6"/>
      <c r="I57" s="7">
        <v>0</v>
      </c>
      <c r="J57" s="7">
        <v>40</v>
      </c>
      <c r="K57" s="7">
        <v>0</v>
      </c>
      <c r="L57" s="7">
        <v>0</v>
      </c>
      <c r="M57" s="7">
        <v>0</v>
      </c>
      <c r="N57" s="7">
        <v>0</v>
      </c>
      <c r="O57" s="7">
        <v>0</v>
      </c>
      <c r="P57" s="7">
        <v>0</v>
      </c>
      <c r="Q57" s="7">
        <v>20</v>
      </c>
      <c r="R57" s="7">
        <v>6</v>
      </c>
      <c r="S57" s="7">
        <v>0</v>
      </c>
      <c r="T57" s="7">
        <v>0</v>
      </c>
      <c r="U57" s="7">
        <f t="shared" si="12"/>
        <v>66</v>
      </c>
      <c r="V57" s="4"/>
      <c r="W57" s="4"/>
      <c r="X57" s="4"/>
      <c r="Y57" s="4"/>
      <c r="Z57" s="4"/>
      <c r="AA57" s="4"/>
      <c r="AB57" s="4"/>
      <c r="AC57" s="17"/>
    </row>
    <row r="58" spans="1:34" x14ac:dyDescent="0.35">
      <c r="A58" s="6"/>
      <c r="B58" s="6"/>
      <c r="C58" s="6"/>
      <c r="D58" s="6"/>
      <c r="E58" s="6"/>
      <c r="F58" s="6"/>
      <c r="G58" s="6" t="s">
        <v>56</v>
      </c>
      <c r="H58" s="6"/>
      <c r="I58" s="7">
        <v>0</v>
      </c>
      <c r="J58" s="7">
        <v>0</v>
      </c>
      <c r="K58" s="7">
        <v>0</v>
      </c>
      <c r="L58" s="7">
        <v>0</v>
      </c>
      <c r="M58" s="7">
        <v>0</v>
      </c>
      <c r="N58" s="7">
        <v>0</v>
      </c>
      <c r="O58" s="7">
        <v>172.45</v>
      </c>
      <c r="P58" s="7">
        <v>0</v>
      </c>
      <c r="Q58" s="7">
        <v>0</v>
      </c>
      <c r="R58" s="7">
        <v>0</v>
      </c>
      <c r="S58" s="7">
        <v>0</v>
      </c>
      <c r="T58" s="7">
        <v>0</v>
      </c>
      <c r="U58" s="7">
        <f t="shared" si="12"/>
        <v>172.45</v>
      </c>
      <c r="V58" s="4"/>
      <c r="W58" s="4"/>
      <c r="X58" s="4"/>
      <c r="Y58" s="4"/>
      <c r="Z58" s="4"/>
      <c r="AA58" s="4"/>
      <c r="AB58" s="4"/>
      <c r="AC58" s="9"/>
    </row>
    <row r="59" spans="1:34" s="21" customFormat="1" ht="15" thickBot="1" x14ac:dyDescent="0.4">
      <c r="A59" s="6"/>
      <c r="B59" s="6"/>
      <c r="C59" s="6"/>
      <c r="D59" s="6"/>
      <c r="E59" s="6"/>
      <c r="F59" s="6"/>
      <c r="G59" s="6" t="s">
        <v>57</v>
      </c>
      <c r="H59" s="6"/>
      <c r="I59" s="7">
        <v>0</v>
      </c>
      <c r="J59" s="7">
        <v>200</v>
      </c>
      <c r="K59" s="7">
        <v>0</v>
      </c>
      <c r="L59" s="7">
        <v>0</v>
      </c>
      <c r="M59" s="7">
        <v>0</v>
      </c>
      <c r="N59" s="7">
        <v>0</v>
      </c>
      <c r="O59" s="7">
        <v>0</v>
      </c>
      <c r="P59" s="7">
        <v>0</v>
      </c>
      <c r="Q59" s="7">
        <v>0</v>
      </c>
      <c r="R59" s="7">
        <v>0</v>
      </c>
      <c r="S59" s="7">
        <v>0</v>
      </c>
      <c r="T59" s="7">
        <v>0</v>
      </c>
      <c r="U59" s="7">
        <f t="shared" si="12"/>
        <v>200</v>
      </c>
      <c r="V59" s="4"/>
      <c r="W59" s="4"/>
      <c r="X59" s="4"/>
      <c r="Y59" s="4"/>
      <c r="Z59" s="4"/>
      <c r="AA59" s="4"/>
      <c r="AB59" s="4"/>
      <c r="AC59" s="9"/>
      <c r="AD59"/>
      <c r="AE59"/>
      <c r="AF59"/>
      <c r="AG59"/>
      <c r="AH59"/>
    </row>
    <row r="60" spans="1:34" ht="15" thickBot="1" x14ac:dyDescent="0.4">
      <c r="A60" s="6"/>
      <c r="B60" s="6"/>
      <c r="C60" s="6"/>
      <c r="D60" s="6"/>
      <c r="E60" s="6"/>
      <c r="F60" s="6"/>
      <c r="G60" s="6" t="s">
        <v>58</v>
      </c>
      <c r="H60" s="6"/>
      <c r="I60" s="7">
        <v>0</v>
      </c>
      <c r="J60" s="7">
        <v>1000</v>
      </c>
      <c r="K60" s="7">
        <v>600</v>
      </c>
      <c r="L60" s="7">
        <v>0</v>
      </c>
      <c r="M60" s="7">
        <v>0</v>
      </c>
      <c r="N60" s="7">
        <v>400</v>
      </c>
      <c r="O60" s="7">
        <v>0</v>
      </c>
      <c r="P60" s="7">
        <v>0</v>
      </c>
      <c r="Q60" s="7">
        <v>0</v>
      </c>
      <c r="R60" s="7">
        <v>0</v>
      </c>
      <c r="S60" s="7">
        <v>0</v>
      </c>
      <c r="T60" s="7">
        <v>0</v>
      </c>
      <c r="U60" s="7">
        <f t="shared" si="12"/>
        <v>2000</v>
      </c>
      <c r="V60" s="4"/>
      <c r="W60" s="4"/>
      <c r="X60" s="4"/>
      <c r="Y60" s="4"/>
      <c r="Z60" s="4"/>
      <c r="AA60" s="4"/>
      <c r="AB60" s="4"/>
      <c r="AC60" s="12"/>
    </row>
    <row r="61" spans="1:34" ht="15" thickBot="1" x14ac:dyDescent="0.4">
      <c r="A61" s="6"/>
      <c r="B61" s="6"/>
      <c r="C61" s="6"/>
      <c r="D61" s="6"/>
      <c r="E61" s="6"/>
      <c r="F61" s="6"/>
      <c r="G61" s="6" t="s">
        <v>59</v>
      </c>
      <c r="H61" s="6"/>
      <c r="I61" s="7">
        <v>10</v>
      </c>
      <c r="J61" s="7">
        <v>20</v>
      </c>
      <c r="K61" s="7">
        <v>10</v>
      </c>
      <c r="L61" s="7">
        <v>10</v>
      </c>
      <c r="M61" s="7">
        <v>10</v>
      </c>
      <c r="N61" s="7">
        <v>10</v>
      </c>
      <c r="O61" s="7">
        <v>10</v>
      </c>
      <c r="P61" s="7">
        <v>10</v>
      </c>
      <c r="Q61" s="7">
        <v>10</v>
      </c>
      <c r="R61" s="7">
        <v>10</v>
      </c>
      <c r="S61" s="7">
        <v>10</v>
      </c>
      <c r="T61" s="7">
        <v>10</v>
      </c>
      <c r="U61" s="7">
        <f t="shared" si="12"/>
        <v>130</v>
      </c>
      <c r="V61" s="4"/>
      <c r="W61" s="4"/>
      <c r="X61" s="4"/>
      <c r="Y61" s="4"/>
      <c r="Z61" s="4"/>
      <c r="AA61" s="4"/>
      <c r="AB61" s="4"/>
      <c r="AC61" s="12"/>
    </row>
    <row r="62" spans="1:34" ht="15" thickBot="1" x14ac:dyDescent="0.4">
      <c r="A62" s="6"/>
      <c r="B62" s="6"/>
      <c r="C62" s="6"/>
      <c r="D62" s="6"/>
      <c r="E62" s="6"/>
      <c r="F62" s="6"/>
      <c r="G62" s="6" t="s">
        <v>60</v>
      </c>
      <c r="H62" s="6"/>
      <c r="I62" s="7">
        <v>500</v>
      </c>
      <c r="J62" s="7">
        <v>0</v>
      </c>
      <c r="K62" s="7">
        <v>0</v>
      </c>
      <c r="L62" s="7">
        <v>300</v>
      </c>
      <c r="M62" s="7">
        <v>0</v>
      </c>
      <c r="N62" s="7">
        <v>1400</v>
      </c>
      <c r="O62" s="7">
        <v>0</v>
      </c>
      <c r="P62" s="7">
        <v>0</v>
      </c>
      <c r="Q62" s="7">
        <v>0</v>
      </c>
      <c r="R62" s="7">
        <v>0</v>
      </c>
      <c r="S62" s="7">
        <v>0</v>
      </c>
      <c r="T62" s="7">
        <v>0</v>
      </c>
      <c r="U62" s="7">
        <f t="shared" si="12"/>
        <v>2200</v>
      </c>
      <c r="V62" s="4"/>
      <c r="W62" s="4"/>
      <c r="X62" s="4"/>
      <c r="Y62" s="4"/>
      <c r="Z62" s="4"/>
      <c r="AA62" s="4"/>
      <c r="AB62" s="4"/>
      <c r="AC62" s="12"/>
    </row>
    <row r="63" spans="1:34" s="21" customFormat="1" ht="15" thickBot="1" x14ac:dyDescent="0.4">
      <c r="A63" s="6"/>
      <c r="B63" s="6"/>
      <c r="C63" s="6"/>
      <c r="D63" s="6"/>
      <c r="E63" s="6"/>
      <c r="F63" s="6"/>
      <c r="G63" s="6" t="s">
        <v>61</v>
      </c>
      <c r="H63" s="6"/>
      <c r="I63" s="7">
        <v>0</v>
      </c>
      <c r="J63" s="7">
        <v>0</v>
      </c>
      <c r="K63" s="7">
        <v>0</v>
      </c>
      <c r="L63" s="7">
        <v>0</v>
      </c>
      <c r="M63" s="7">
        <v>40</v>
      </c>
      <c r="N63" s="7">
        <v>200</v>
      </c>
      <c r="O63" s="7">
        <v>69.69</v>
      </c>
      <c r="P63" s="7">
        <v>0</v>
      </c>
      <c r="Q63" s="7">
        <v>0</v>
      </c>
      <c r="R63" s="7">
        <v>0</v>
      </c>
      <c r="S63" s="7">
        <v>100</v>
      </c>
      <c r="T63" s="7">
        <v>0</v>
      </c>
      <c r="U63" s="7">
        <f t="shared" si="12"/>
        <v>409.69</v>
      </c>
      <c r="V63" s="4"/>
      <c r="W63" s="4"/>
      <c r="X63" s="4"/>
      <c r="Y63" s="4"/>
      <c r="Z63" s="4"/>
      <c r="AA63" s="4"/>
      <c r="AB63" s="4"/>
      <c r="AC63" s="12"/>
      <c r="AD63"/>
      <c r="AE63"/>
      <c r="AF63"/>
      <c r="AG63"/>
      <c r="AH63"/>
    </row>
    <row r="64" spans="1:34" s="21" customFormat="1" ht="15" thickBot="1" x14ac:dyDescent="0.4">
      <c r="A64" s="6"/>
      <c r="B64" s="6"/>
      <c r="C64" s="6"/>
      <c r="D64" s="6"/>
      <c r="E64" s="6"/>
      <c r="F64" s="6"/>
      <c r="G64" s="6" t="s">
        <v>63</v>
      </c>
      <c r="H64" s="6"/>
      <c r="I64" s="10"/>
      <c r="J64" s="10"/>
      <c r="K64" s="10"/>
      <c r="L64" s="10"/>
      <c r="M64" s="10"/>
      <c r="N64" s="10">
        <v>500</v>
      </c>
      <c r="O64" s="10">
        <v>0</v>
      </c>
      <c r="P64" s="10">
        <v>0</v>
      </c>
      <c r="Q64" s="10">
        <v>500</v>
      </c>
      <c r="R64" s="10">
        <v>0</v>
      </c>
      <c r="S64" s="10">
        <v>0</v>
      </c>
      <c r="T64" s="10">
        <v>0</v>
      </c>
      <c r="U64" s="10">
        <f t="shared" si="12"/>
        <v>1000</v>
      </c>
      <c r="V64" s="4"/>
      <c r="W64" s="4"/>
      <c r="X64" s="4"/>
      <c r="Y64" s="4"/>
      <c r="Z64" s="4"/>
      <c r="AA64" s="4"/>
      <c r="AB64" s="4"/>
      <c r="AC64" s="12"/>
      <c r="AD64"/>
      <c r="AE64"/>
      <c r="AF64"/>
      <c r="AG64"/>
      <c r="AH64"/>
    </row>
    <row r="65" spans="1:34" ht="15" thickBot="1" x14ac:dyDescent="0.4">
      <c r="A65" s="6"/>
      <c r="B65" s="6"/>
      <c r="C65" s="6"/>
      <c r="D65" s="6"/>
      <c r="E65" s="6"/>
      <c r="F65" s="6" t="s">
        <v>64</v>
      </c>
      <c r="G65" s="6"/>
      <c r="H65" s="6"/>
      <c r="I65" s="7">
        <f t="shared" ref="I65:N65" si="17">ROUND(SUM(I55:I63),5)</f>
        <v>567.96</v>
      </c>
      <c r="J65" s="7">
        <f t="shared" si="17"/>
        <v>1267.6400000000001</v>
      </c>
      <c r="K65" s="7">
        <f t="shared" si="17"/>
        <v>610</v>
      </c>
      <c r="L65" s="7">
        <f t="shared" si="17"/>
        <v>410</v>
      </c>
      <c r="M65" s="7">
        <f t="shared" si="17"/>
        <v>150</v>
      </c>
      <c r="N65" s="7">
        <f t="shared" si="17"/>
        <v>2110</v>
      </c>
      <c r="O65" s="7">
        <f>ROUND(SUM(O55:O64),5)</f>
        <v>319.08</v>
      </c>
      <c r="P65" s="7">
        <f>ROUND(SUM(P55:P64),5)</f>
        <v>134.18</v>
      </c>
      <c r="Q65" s="7">
        <f>ROUND(SUM(Q55:Q64),5)</f>
        <v>549.63</v>
      </c>
      <c r="R65" s="7">
        <f>ROUND(SUM(R55:R64),5)</f>
        <v>116</v>
      </c>
      <c r="S65" s="7">
        <f>ROUND(SUM(S55:S63),5)</f>
        <v>210</v>
      </c>
      <c r="T65" s="7">
        <f>ROUND(SUM(T55:T63),5)</f>
        <v>110</v>
      </c>
      <c r="U65" s="7">
        <f t="shared" si="12"/>
        <v>6554.49</v>
      </c>
      <c r="V65" s="4"/>
      <c r="W65" s="4"/>
      <c r="X65" s="4"/>
      <c r="Y65" s="4"/>
      <c r="Z65" s="4"/>
      <c r="AA65" s="4"/>
      <c r="AB65" s="4"/>
      <c r="AC65" s="22"/>
    </row>
    <row r="66" spans="1:34" ht="15" thickTop="1" x14ac:dyDescent="0.35">
      <c r="A66" s="6"/>
      <c r="B66" s="6"/>
      <c r="C66" s="6"/>
      <c r="D66" s="6"/>
      <c r="E66" s="6"/>
      <c r="F66" s="6" t="s">
        <v>65</v>
      </c>
      <c r="G66" s="6"/>
      <c r="H66" s="6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AC66" s="16"/>
    </row>
    <row r="67" spans="1:34" x14ac:dyDescent="0.35">
      <c r="A67" s="6"/>
      <c r="B67" s="6"/>
      <c r="C67" s="6"/>
      <c r="D67" s="6"/>
      <c r="E67" s="6"/>
      <c r="F67" s="6"/>
      <c r="G67" s="6" t="s">
        <v>66</v>
      </c>
      <c r="H67" s="6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AC67" s="16"/>
    </row>
    <row r="68" spans="1:34" x14ac:dyDescent="0.35">
      <c r="A68" s="6"/>
      <c r="B68" s="6"/>
      <c r="C68" s="6"/>
      <c r="D68" s="6"/>
      <c r="E68" s="6"/>
      <c r="F68" s="6"/>
      <c r="G68" s="6"/>
      <c r="H68" s="6" t="s">
        <v>67</v>
      </c>
      <c r="I68" s="7">
        <v>-500</v>
      </c>
      <c r="J68" s="7">
        <v>-197.68</v>
      </c>
      <c r="K68" s="7">
        <v>-1200</v>
      </c>
      <c r="L68" s="7">
        <v>-300</v>
      </c>
      <c r="M68" s="7">
        <v>-201.5</v>
      </c>
      <c r="N68" s="7">
        <v>-173</v>
      </c>
      <c r="O68" s="7">
        <v>-215</v>
      </c>
      <c r="P68" s="7">
        <v>-296.06</v>
      </c>
      <c r="Q68" s="7">
        <v>-545.61</v>
      </c>
      <c r="R68" s="7">
        <v>-299.39999999999998</v>
      </c>
      <c r="S68" s="7">
        <v>-300</v>
      </c>
      <c r="T68" s="7">
        <v>-300</v>
      </c>
      <c r="U68" s="7">
        <f t="shared" ref="U68:U76" si="18">ROUND(SUM(I68:T68),5)</f>
        <v>-4528.25</v>
      </c>
      <c r="AC68" s="16"/>
    </row>
    <row r="69" spans="1:34" s="21" customFormat="1" ht="15" thickBot="1" x14ac:dyDescent="0.4">
      <c r="A69" s="6"/>
      <c r="B69" s="6"/>
      <c r="C69" s="6"/>
      <c r="D69" s="6"/>
      <c r="E69" s="6"/>
      <c r="F69" s="6"/>
      <c r="G69" s="6"/>
      <c r="H69" s="6" t="s">
        <v>68</v>
      </c>
      <c r="I69" s="10">
        <v>-100</v>
      </c>
      <c r="J69" s="10">
        <v>-39.89</v>
      </c>
      <c r="K69" s="10">
        <v>-7500</v>
      </c>
      <c r="L69" s="10">
        <v>-17.829999999999998</v>
      </c>
      <c r="M69" s="10">
        <v>-24.52</v>
      </c>
      <c r="N69" s="10">
        <v>-90</v>
      </c>
      <c r="O69" s="10">
        <v>0</v>
      </c>
      <c r="P69" s="10">
        <v>-13.52</v>
      </c>
      <c r="Q69" s="10">
        <v>-2500</v>
      </c>
      <c r="R69" s="10">
        <v>-100</v>
      </c>
      <c r="S69" s="10">
        <v>-100</v>
      </c>
      <c r="T69" s="10">
        <v>0</v>
      </c>
      <c r="U69" s="10">
        <f t="shared" si="18"/>
        <v>-10485.76</v>
      </c>
      <c r="V69"/>
      <c r="W69"/>
      <c r="X69"/>
      <c r="Y69"/>
      <c r="Z69"/>
      <c r="AA69"/>
      <c r="AB69"/>
      <c r="AC69" s="16"/>
      <c r="AD69"/>
      <c r="AE69"/>
      <c r="AF69"/>
      <c r="AG69"/>
      <c r="AH69"/>
    </row>
    <row r="70" spans="1:34" x14ac:dyDescent="0.35">
      <c r="A70" s="6"/>
      <c r="B70" s="6"/>
      <c r="C70" s="6"/>
      <c r="D70" s="6"/>
      <c r="E70" s="6"/>
      <c r="F70" s="6"/>
      <c r="G70" s="6" t="s">
        <v>69</v>
      </c>
      <c r="H70" s="6"/>
      <c r="I70" s="7">
        <f t="shared" ref="I70:T70" si="19">ROUND(SUM(I67:I69),5)</f>
        <v>-600</v>
      </c>
      <c r="J70" s="7">
        <f t="shared" si="19"/>
        <v>-237.57</v>
      </c>
      <c r="K70" s="7">
        <f t="shared" si="19"/>
        <v>-8700</v>
      </c>
      <c r="L70" s="7">
        <f t="shared" si="19"/>
        <v>-317.83</v>
      </c>
      <c r="M70" s="7">
        <f t="shared" si="19"/>
        <v>-226.02</v>
      </c>
      <c r="N70" s="7">
        <f t="shared" si="19"/>
        <v>-263</v>
      </c>
      <c r="O70" s="7">
        <f t="shared" si="19"/>
        <v>-215</v>
      </c>
      <c r="P70" s="7">
        <f t="shared" si="19"/>
        <v>-309.58</v>
      </c>
      <c r="Q70" s="7">
        <f t="shared" si="19"/>
        <v>-3045.61</v>
      </c>
      <c r="R70" s="30">
        <f t="shared" si="19"/>
        <v>-399.4</v>
      </c>
      <c r="S70" s="7">
        <f t="shared" si="19"/>
        <v>-400</v>
      </c>
      <c r="T70" s="7">
        <f t="shared" si="19"/>
        <v>-300</v>
      </c>
      <c r="U70" s="7">
        <f t="shared" si="18"/>
        <v>-15014.01</v>
      </c>
      <c r="AC70" s="16"/>
    </row>
    <row r="71" spans="1:34" s="21" customFormat="1" ht="15" thickBot="1" x14ac:dyDescent="0.4">
      <c r="A71" s="6"/>
      <c r="B71" s="6"/>
      <c r="C71" s="6"/>
      <c r="D71" s="6"/>
      <c r="E71" s="6"/>
      <c r="F71" s="6"/>
      <c r="G71" s="6" t="s">
        <v>70</v>
      </c>
      <c r="H71" s="6"/>
      <c r="I71" s="7">
        <v>-0.37</v>
      </c>
      <c r="J71" s="7">
        <v>-0.38</v>
      </c>
      <c r="K71" s="7">
        <v>-0.37</v>
      </c>
      <c r="L71" s="7">
        <v>-0.38</v>
      </c>
      <c r="M71" s="7">
        <v>-0.38</v>
      </c>
      <c r="N71" s="7">
        <v>-0.38</v>
      </c>
      <c r="O71" s="7">
        <v>-0.37</v>
      </c>
      <c r="P71" s="7">
        <v>-0.37</v>
      </c>
      <c r="Q71" s="7">
        <v>-0.38</v>
      </c>
      <c r="R71" s="30">
        <v>0</v>
      </c>
      <c r="S71" s="7">
        <v>-0.38</v>
      </c>
      <c r="T71" s="7">
        <v>-0.38</v>
      </c>
      <c r="U71" s="7">
        <f t="shared" si="18"/>
        <v>-4.1399999999999997</v>
      </c>
      <c r="V71"/>
      <c r="W71"/>
      <c r="X71"/>
      <c r="Y71"/>
      <c r="Z71"/>
      <c r="AA71"/>
      <c r="AB71"/>
      <c r="AC71" s="16"/>
      <c r="AD71"/>
      <c r="AE71"/>
      <c r="AF71"/>
      <c r="AG71"/>
      <c r="AH71"/>
    </row>
    <row r="72" spans="1:34" s="21" customFormat="1" ht="15" thickBot="1" x14ac:dyDescent="0.4">
      <c r="A72" s="6"/>
      <c r="B72" s="6"/>
      <c r="C72" s="6"/>
      <c r="D72" s="6"/>
      <c r="E72" s="6"/>
      <c r="F72" s="6" t="s">
        <v>71</v>
      </c>
      <c r="G72" s="6"/>
      <c r="H72" s="6"/>
      <c r="I72" s="11">
        <f t="shared" ref="I72:T72" si="20">ROUND(I66+SUM(I70:I71),5)</f>
        <v>-600.37</v>
      </c>
      <c r="J72" s="11">
        <f t="shared" si="20"/>
        <v>-237.95</v>
      </c>
      <c r="K72" s="11">
        <f t="shared" si="20"/>
        <v>-8700.3700000000008</v>
      </c>
      <c r="L72" s="11">
        <f t="shared" si="20"/>
        <v>-318.20999999999998</v>
      </c>
      <c r="M72" s="11">
        <f t="shared" si="20"/>
        <v>-226.4</v>
      </c>
      <c r="N72" s="11">
        <f t="shared" si="20"/>
        <v>-263.38</v>
      </c>
      <c r="O72" s="11">
        <f t="shared" si="20"/>
        <v>-215.37</v>
      </c>
      <c r="P72" s="11">
        <f t="shared" si="20"/>
        <v>-309.95</v>
      </c>
      <c r="Q72" s="11">
        <f t="shared" si="20"/>
        <v>-3045.99</v>
      </c>
      <c r="R72" s="11">
        <f t="shared" si="20"/>
        <v>-399.4</v>
      </c>
      <c r="S72" s="11">
        <f t="shared" si="20"/>
        <v>-400.38</v>
      </c>
      <c r="T72" s="11">
        <f t="shared" si="20"/>
        <v>-300.38</v>
      </c>
      <c r="U72" s="11">
        <f t="shared" si="18"/>
        <v>-15018.15</v>
      </c>
      <c r="V72"/>
      <c r="W72"/>
      <c r="X72"/>
      <c r="Y72"/>
      <c r="Z72"/>
      <c r="AA72"/>
      <c r="AB72"/>
      <c r="AC72" s="16"/>
      <c r="AD72"/>
      <c r="AE72"/>
      <c r="AF72"/>
      <c r="AG72"/>
      <c r="AH72"/>
    </row>
    <row r="73" spans="1:34" s="21" customFormat="1" ht="15" thickBot="1" x14ac:dyDescent="0.4">
      <c r="A73" s="6"/>
      <c r="B73" s="6"/>
      <c r="C73" s="6"/>
      <c r="D73" s="6"/>
      <c r="E73" s="6" t="s">
        <v>72</v>
      </c>
      <c r="F73" s="6"/>
      <c r="G73" s="6"/>
      <c r="H73" s="6"/>
      <c r="I73" s="11">
        <f t="shared" ref="I73:T73" si="21">+I30+I38+I42+I53+I65+I31+I32+I33+I43+I44+I45+I54</f>
        <v>16206.32064</v>
      </c>
      <c r="J73" s="11">
        <f t="shared" si="21"/>
        <v>15880.782169999999</v>
      </c>
      <c r="K73" s="11">
        <f t="shared" si="21"/>
        <v>16296.25589</v>
      </c>
      <c r="L73" s="11">
        <f t="shared" si="21"/>
        <v>15444.452240000002</v>
      </c>
      <c r="M73" s="11">
        <f t="shared" si="21"/>
        <v>13655.669620000002</v>
      </c>
      <c r="N73" s="11">
        <f t="shared" si="21"/>
        <v>15438.250639999998</v>
      </c>
      <c r="O73" s="11">
        <f t="shared" si="21"/>
        <v>18857.15137</v>
      </c>
      <c r="P73" s="11">
        <f t="shared" si="21"/>
        <v>19741.426930000001</v>
      </c>
      <c r="Q73" s="11">
        <f t="shared" si="21"/>
        <v>22144.562179999997</v>
      </c>
      <c r="R73" s="11">
        <f t="shared" si="21"/>
        <v>14893.195210000002</v>
      </c>
      <c r="S73" s="11">
        <f t="shared" si="21"/>
        <v>13691.622000000001</v>
      </c>
      <c r="T73" s="11">
        <f t="shared" si="21"/>
        <v>13550.522000000001</v>
      </c>
      <c r="U73" s="11">
        <f t="shared" si="18"/>
        <v>195800.21088999999</v>
      </c>
      <c r="V73" s="16"/>
      <c r="W73"/>
      <c r="X73"/>
      <c r="Y73"/>
      <c r="Z73"/>
      <c r="AA73"/>
      <c r="AB73"/>
      <c r="AC73" s="16"/>
      <c r="AD73"/>
      <c r="AE73"/>
      <c r="AF73"/>
      <c r="AG73"/>
      <c r="AH73"/>
    </row>
    <row r="74" spans="1:34" s="21" customFormat="1" ht="15" thickBot="1" x14ac:dyDescent="0.4">
      <c r="A74" s="6"/>
      <c r="B74" s="6"/>
      <c r="C74" s="6"/>
      <c r="D74" s="6" t="s">
        <v>93</v>
      </c>
      <c r="E74" s="6"/>
      <c r="F74" s="6"/>
      <c r="G74" s="6"/>
      <c r="H74" s="6"/>
      <c r="I74" s="11">
        <f t="shared" ref="I74:T74" si="22">+I73+I70</f>
        <v>15606.32064</v>
      </c>
      <c r="J74" s="11">
        <f t="shared" si="22"/>
        <v>15643.212169999999</v>
      </c>
      <c r="K74" s="11">
        <f t="shared" si="22"/>
        <v>7596.2558900000004</v>
      </c>
      <c r="L74" s="11">
        <f t="shared" si="22"/>
        <v>15126.622240000002</v>
      </c>
      <c r="M74" s="11">
        <f t="shared" si="22"/>
        <v>13429.649620000002</v>
      </c>
      <c r="N74" s="11">
        <f t="shared" si="22"/>
        <v>15175.250639999998</v>
      </c>
      <c r="O74" s="11">
        <f t="shared" si="22"/>
        <v>18642.15137</v>
      </c>
      <c r="P74" s="11">
        <f t="shared" si="22"/>
        <v>19431.84693</v>
      </c>
      <c r="Q74" s="11">
        <f t="shared" si="22"/>
        <v>19098.952179999997</v>
      </c>
      <c r="R74" s="11">
        <f t="shared" si="22"/>
        <v>14493.795210000002</v>
      </c>
      <c r="S74" s="11">
        <f t="shared" si="22"/>
        <v>13291.622000000001</v>
      </c>
      <c r="T74" s="11">
        <f t="shared" si="22"/>
        <v>13250.522000000001</v>
      </c>
      <c r="U74" s="11">
        <f t="shared" si="18"/>
        <v>180786.20089000001</v>
      </c>
      <c r="V74"/>
      <c r="W74"/>
      <c r="X74"/>
      <c r="Y74"/>
      <c r="Z74"/>
      <c r="AA74"/>
      <c r="AB74"/>
      <c r="AC74" s="16"/>
      <c r="AD74"/>
      <c r="AE74"/>
      <c r="AF74"/>
      <c r="AG74"/>
      <c r="AH74"/>
    </row>
    <row r="75" spans="1:34" s="21" customFormat="1" ht="15" thickBot="1" x14ac:dyDescent="0.4">
      <c r="A75" s="6"/>
      <c r="B75" s="6" t="s">
        <v>73</v>
      </c>
      <c r="C75" s="6"/>
      <c r="D75" s="6"/>
      <c r="E75" s="6"/>
      <c r="F75" s="6"/>
      <c r="G75" s="6"/>
      <c r="H75" s="6"/>
      <c r="I75" s="11">
        <f t="shared" ref="I75:T75" si="23">+I18-I74</f>
        <v>-5943.9606399999993</v>
      </c>
      <c r="J75" s="11">
        <f t="shared" si="23"/>
        <v>-2843.2121699999989</v>
      </c>
      <c r="K75" s="11">
        <f t="shared" si="23"/>
        <v>1003.7441099999996</v>
      </c>
      <c r="L75" s="11">
        <f t="shared" si="23"/>
        <v>-6002.5622400000029</v>
      </c>
      <c r="M75" s="11">
        <f t="shared" si="23"/>
        <v>-3929.649620000002</v>
      </c>
      <c r="N75" s="11">
        <f t="shared" si="23"/>
        <v>-6775.2506399999984</v>
      </c>
      <c r="O75" s="11">
        <f t="shared" si="23"/>
        <v>-5378.1113699999987</v>
      </c>
      <c r="P75" s="11">
        <f t="shared" si="23"/>
        <v>12231.283070000001</v>
      </c>
      <c r="Q75" s="11">
        <f t="shared" si="23"/>
        <v>31806.837820000004</v>
      </c>
      <c r="R75" s="11">
        <f t="shared" si="23"/>
        <v>-8193.795210000002</v>
      </c>
      <c r="S75" s="11">
        <f t="shared" si="23"/>
        <v>-2491.6220000000012</v>
      </c>
      <c r="T75" s="11">
        <f t="shared" si="23"/>
        <v>-4250.5220000000008</v>
      </c>
      <c r="U75" s="11">
        <f t="shared" si="18"/>
        <v>-766.82088999999996</v>
      </c>
      <c r="V75"/>
      <c r="W75"/>
      <c r="X75"/>
      <c r="Y75"/>
      <c r="Z75"/>
      <c r="AA75"/>
      <c r="AB75"/>
      <c r="AC75" s="16"/>
      <c r="AD75"/>
      <c r="AE75"/>
      <c r="AF75"/>
      <c r="AG75"/>
      <c r="AH75"/>
    </row>
    <row r="76" spans="1:34" s="21" customFormat="1" ht="11" thickBot="1" x14ac:dyDescent="0.3">
      <c r="B76" s="6" t="s">
        <v>62</v>
      </c>
      <c r="C76" s="6"/>
      <c r="D76" s="6"/>
      <c r="E76" s="6"/>
      <c r="F76" s="6"/>
      <c r="G76" s="6"/>
      <c r="H76" s="6"/>
      <c r="I76" s="23">
        <f t="shared" ref="I76:T76" si="24">I75</f>
        <v>-5943.9606399999993</v>
      </c>
      <c r="J76" s="23">
        <f t="shared" si="24"/>
        <v>-2843.2121699999989</v>
      </c>
      <c r="K76" s="23">
        <f t="shared" si="24"/>
        <v>1003.7441099999996</v>
      </c>
      <c r="L76" s="23">
        <f t="shared" si="24"/>
        <v>-6002.5622400000029</v>
      </c>
      <c r="M76" s="23">
        <f t="shared" si="24"/>
        <v>-3929.649620000002</v>
      </c>
      <c r="N76" s="23">
        <f t="shared" si="24"/>
        <v>-6775.2506399999984</v>
      </c>
      <c r="O76" s="23">
        <f t="shared" si="24"/>
        <v>-5378.1113699999987</v>
      </c>
      <c r="P76" s="23">
        <f t="shared" si="24"/>
        <v>12231.283070000001</v>
      </c>
      <c r="Q76" s="23">
        <f t="shared" si="24"/>
        <v>31806.837820000004</v>
      </c>
      <c r="R76" s="23">
        <f t="shared" si="24"/>
        <v>-8193.795210000002</v>
      </c>
      <c r="S76" s="23">
        <f t="shared" si="24"/>
        <v>-2491.6220000000012</v>
      </c>
      <c r="T76" s="23">
        <f t="shared" si="24"/>
        <v>-4250.5220000000008</v>
      </c>
      <c r="U76" s="23">
        <f t="shared" si="18"/>
        <v>-766.82088999999996</v>
      </c>
      <c r="AC76" s="24"/>
    </row>
    <row r="77" spans="1:34" ht="15" thickTop="1" x14ac:dyDescent="0.35"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AC77" s="16"/>
    </row>
    <row r="78" spans="1:34" x14ac:dyDescent="0.35">
      <c r="V78" s="5"/>
      <c r="AC78" s="16"/>
    </row>
    <row r="79" spans="1:34" s="21" customFormat="1" x14ac:dyDescent="0.35">
      <c r="V79"/>
      <c r="W79"/>
      <c r="X79"/>
      <c r="Y79"/>
      <c r="Z79"/>
      <c r="AA79"/>
      <c r="AB79"/>
      <c r="AC79" s="16"/>
      <c r="AD79"/>
      <c r="AE79"/>
      <c r="AF79"/>
      <c r="AG79"/>
      <c r="AH79"/>
    </row>
    <row r="80" spans="1:34" s="21" customFormat="1" x14ac:dyDescent="0.35">
      <c r="V80"/>
      <c r="W80"/>
      <c r="X80"/>
      <c r="Y80"/>
      <c r="Z80"/>
      <c r="AA80"/>
      <c r="AB80"/>
      <c r="AC80" s="16"/>
      <c r="AD80"/>
      <c r="AE80"/>
      <c r="AF80"/>
      <c r="AG80"/>
      <c r="AH80"/>
    </row>
    <row r="81" spans="22:29" x14ac:dyDescent="0.35">
      <c r="AC81" s="16"/>
    </row>
    <row r="82" spans="22:29" x14ac:dyDescent="0.35">
      <c r="AC82" s="16"/>
    </row>
    <row r="83" spans="22:29" x14ac:dyDescent="0.35">
      <c r="AC83" s="16"/>
    </row>
    <row r="84" spans="22:29" x14ac:dyDescent="0.35">
      <c r="AC84" s="16"/>
    </row>
    <row r="85" spans="22:29" x14ac:dyDescent="0.35">
      <c r="AC85" s="16"/>
    </row>
    <row r="86" spans="22:29" x14ac:dyDescent="0.35">
      <c r="AC86" s="16"/>
    </row>
    <row r="91" spans="22:29" x14ac:dyDescent="0.35">
      <c r="X91" s="28">
        <v>128253.09</v>
      </c>
    </row>
    <row r="93" spans="22:29" x14ac:dyDescent="0.35">
      <c r="V93" s="26"/>
      <c r="W93" s="26"/>
      <c r="X93" s="26"/>
      <c r="Y93" s="26"/>
      <c r="Z93" s="26"/>
    </row>
  </sheetData>
  <mergeCells count="1">
    <mergeCell ref="A1:U1"/>
  </mergeCells>
  <pageMargins left="0" right="0" top="0.75" bottom="0.75" header="0.3" footer="0.3"/>
  <pageSetup scale="85" orientation="landscape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8"/>
  <sheetViews>
    <sheetView topLeftCell="D1" workbookViewId="0">
      <selection activeCell="S25" sqref="S25"/>
    </sheetView>
  </sheetViews>
  <sheetFormatPr defaultColWidth="7" defaultRowHeight="14.5" x14ac:dyDescent="0.35"/>
  <cols>
    <col min="1" max="1" width="3" customWidth="1"/>
    <col min="2" max="2" width="1.1796875" customWidth="1"/>
    <col min="3" max="3" width="1.81640625" customWidth="1"/>
    <col min="4" max="4" width="1.54296875" customWidth="1"/>
    <col min="5" max="5" width="7.54296875" customWidth="1"/>
    <col min="6" max="6" width="33.1796875" customWidth="1"/>
    <col min="7" max="7" width="10.54296875" bestFit="1" customWidth="1"/>
    <col min="8" max="8" width="9.36328125" customWidth="1"/>
    <col min="9" max="9" width="9.54296875" bestFit="1" customWidth="1"/>
    <col min="10" max="12" width="10.54296875" bestFit="1" customWidth="1"/>
    <col min="13" max="13" width="1.6328125" customWidth="1"/>
    <col min="14" max="14" width="8.453125" bestFit="1" customWidth="1"/>
    <col min="15" max="15" width="7.08984375" bestFit="1" customWidth="1"/>
    <col min="16" max="16" width="8" bestFit="1" customWidth="1"/>
    <col min="17" max="17" width="8.1796875" bestFit="1" customWidth="1"/>
  </cols>
  <sheetData>
    <row r="1" spans="1:19" x14ac:dyDescent="0.35">
      <c r="A1" s="1"/>
      <c r="B1" s="1"/>
      <c r="C1" s="1"/>
      <c r="D1" s="1"/>
      <c r="E1" s="1"/>
      <c r="F1" s="1"/>
    </row>
    <row r="2" spans="1:19" ht="15.5" x14ac:dyDescent="0.35">
      <c r="A2" s="1"/>
      <c r="B2" s="149" t="s">
        <v>99</v>
      </c>
      <c r="C2" s="149"/>
      <c r="D2" s="149"/>
      <c r="E2" s="149"/>
      <c r="F2" s="149"/>
      <c r="G2" s="149"/>
      <c r="H2" s="149"/>
      <c r="I2" s="149"/>
      <c r="J2" s="149"/>
      <c r="K2" s="45"/>
      <c r="L2" s="46"/>
      <c r="M2" s="46"/>
      <c r="N2" s="46"/>
      <c r="O2" s="46"/>
      <c r="P2" s="46"/>
      <c r="Q2" s="46"/>
      <c r="R2" s="46"/>
      <c r="S2" s="46"/>
    </row>
    <row r="3" spans="1:19" ht="15.5" x14ac:dyDescent="0.35">
      <c r="A3" s="6"/>
      <c r="B3" s="47"/>
      <c r="C3" s="47"/>
      <c r="D3" s="47"/>
      <c r="E3" s="47"/>
      <c r="F3" s="47"/>
      <c r="G3" s="33">
        <v>2016</v>
      </c>
      <c r="H3" s="33">
        <v>2017</v>
      </c>
      <c r="I3" s="33">
        <v>2018</v>
      </c>
      <c r="J3" s="33">
        <v>2019</v>
      </c>
      <c r="K3" s="33">
        <v>2020</v>
      </c>
      <c r="L3" s="33">
        <v>2021</v>
      </c>
      <c r="M3" s="33"/>
      <c r="N3" s="86"/>
      <c r="O3" s="86"/>
      <c r="P3" s="86"/>
      <c r="Q3" s="86"/>
      <c r="R3" s="46"/>
      <c r="S3" s="46"/>
    </row>
    <row r="4" spans="1:19" ht="15.5" x14ac:dyDescent="0.35">
      <c r="A4" s="6"/>
      <c r="B4" s="47"/>
      <c r="C4" s="47"/>
      <c r="D4" s="47"/>
      <c r="E4" s="47"/>
      <c r="F4" s="47"/>
      <c r="G4" s="33" t="s">
        <v>100</v>
      </c>
      <c r="H4" s="33" t="s">
        <v>100</v>
      </c>
      <c r="I4" s="33" t="s">
        <v>100</v>
      </c>
      <c r="J4" s="33" t="s">
        <v>100</v>
      </c>
      <c r="K4" s="33" t="s">
        <v>100</v>
      </c>
      <c r="L4" s="33" t="s">
        <v>101</v>
      </c>
      <c r="M4" s="33"/>
      <c r="N4" s="86"/>
      <c r="O4" s="86"/>
      <c r="P4" s="86"/>
      <c r="Q4" s="86"/>
      <c r="R4" s="46"/>
      <c r="S4" s="46"/>
    </row>
    <row r="5" spans="1:19" ht="15.5" x14ac:dyDescent="0.35">
      <c r="A5" s="6"/>
      <c r="B5" s="47" t="s">
        <v>3</v>
      </c>
      <c r="C5" s="47"/>
      <c r="D5" s="47"/>
      <c r="E5" s="47"/>
      <c r="F5" s="47"/>
      <c r="G5" s="48"/>
      <c r="H5" s="48"/>
      <c r="I5" s="48"/>
      <c r="J5" s="48"/>
      <c r="K5" s="48"/>
      <c r="L5" s="46"/>
      <c r="M5" s="46"/>
      <c r="N5" s="87"/>
      <c r="O5" s="87"/>
      <c r="P5" s="87"/>
      <c r="Q5" s="87"/>
      <c r="R5" s="46"/>
      <c r="S5" s="46"/>
    </row>
    <row r="6" spans="1:19" ht="15.5" x14ac:dyDescent="0.35">
      <c r="A6" s="6"/>
      <c r="B6" s="47"/>
      <c r="C6" s="47" t="s">
        <v>4</v>
      </c>
      <c r="D6" s="47"/>
      <c r="E6" s="47"/>
      <c r="F6" s="47"/>
      <c r="G6" s="48"/>
      <c r="H6" s="48"/>
      <c r="I6" s="48"/>
      <c r="J6" s="48"/>
      <c r="K6" s="48"/>
      <c r="L6" s="46"/>
      <c r="M6" s="46"/>
      <c r="N6" s="87"/>
      <c r="O6" s="87"/>
      <c r="P6" s="87"/>
      <c r="Q6" s="87"/>
      <c r="R6" s="46"/>
      <c r="S6" s="46"/>
    </row>
    <row r="7" spans="1:19" ht="15.5" x14ac:dyDescent="0.35">
      <c r="A7" s="6"/>
      <c r="B7" s="47"/>
      <c r="C7" s="47"/>
      <c r="D7" s="47" t="s">
        <v>5</v>
      </c>
      <c r="E7" s="47"/>
      <c r="F7" s="47"/>
      <c r="G7" s="49">
        <v>404874.84</v>
      </c>
      <c r="H7" s="50">
        <v>344765</v>
      </c>
      <c r="I7" s="51">
        <v>354225.88999999996</v>
      </c>
      <c r="J7" s="49">
        <v>336501</v>
      </c>
      <c r="K7" s="49">
        <v>307921.32</v>
      </c>
      <c r="L7" s="95">
        <v>300000</v>
      </c>
      <c r="M7" s="46"/>
      <c r="N7" s="88"/>
      <c r="O7" s="88"/>
      <c r="P7" s="88"/>
      <c r="Q7" s="89"/>
      <c r="R7" s="46"/>
      <c r="S7" s="46"/>
    </row>
    <row r="8" spans="1:19" ht="15.5" x14ac:dyDescent="0.35">
      <c r="A8" s="6"/>
      <c r="B8" s="47"/>
      <c r="C8" s="47"/>
      <c r="D8" s="47" t="s">
        <v>6</v>
      </c>
      <c r="E8" s="47"/>
      <c r="F8" s="47"/>
      <c r="G8" s="49"/>
      <c r="H8" s="50"/>
      <c r="I8" s="51"/>
      <c r="J8" s="48"/>
      <c r="K8" s="48"/>
      <c r="L8" s="95"/>
      <c r="M8" s="46"/>
      <c r="N8" s="87"/>
      <c r="O8" s="87"/>
      <c r="P8" s="87"/>
      <c r="Q8" s="89"/>
      <c r="R8" s="46"/>
      <c r="S8" s="46"/>
    </row>
    <row r="9" spans="1:19" ht="15.5" x14ac:dyDescent="0.35">
      <c r="A9" s="6"/>
      <c r="B9" s="47"/>
      <c r="C9" s="47"/>
      <c r="D9" s="47"/>
      <c r="E9" s="47"/>
      <c r="F9" s="47" t="s">
        <v>102</v>
      </c>
      <c r="G9" s="46"/>
      <c r="H9" s="50">
        <v>4044.65</v>
      </c>
      <c r="I9" s="51">
        <v>5021.33</v>
      </c>
      <c r="J9" s="49">
        <v>3865</v>
      </c>
      <c r="L9" s="43"/>
      <c r="M9" s="46"/>
      <c r="N9" s="88"/>
      <c r="O9" s="88"/>
      <c r="P9" s="88"/>
      <c r="Q9" s="89"/>
      <c r="R9" s="46"/>
      <c r="S9" s="46"/>
    </row>
    <row r="10" spans="1:19" ht="15.5" x14ac:dyDescent="0.35">
      <c r="A10" s="6"/>
      <c r="B10" s="47"/>
      <c r="C10" s="46"/>
      <c r="D10" s="46"/>
      <c r="E10" s="46"/>
      <c r="F10" s="53" t="s">
        <v>103</v>
      </c>
      <c r="G10" s="46"/>
      <c r="H10" s="46"/>
      <c r="I10" s="46"/>
      <c r="J10" s="52">
        <v>37687</v>
      </c>
      <c r="L10" s="43"/>
      <c r="M10" s="46"/>
      <c r="N10" s="87"/>
      <c r="O10" s="87"/>
      <c r="P10" s="88"/>
      <c r="Q10" s="89"/>
      <c r="R10" s="46"/>
      <c r="S10" s="46"/>
    </row>
    <row r="11" spans="1:19" ht="16" thickBot="1" x14ac:dyDescent="0.4">
      <c r="A11" s="6"/>
      <c r="B11" s="47"/>
      <c r="C11" s="47"/>
      <c r="D11" s="47"/>
      <c r="E11" s="47" t="s">
        <v>7</v>
      </c>
      <c r="F11" s="47"/>
      <c r="G11" s="55">
        <v>35394</v>
      </c>
      <c r="H11" s="61">
        <v>40259.57</v>
      </c>
      <c r="I11" s="54">
        <v>35564.880000000005</v>
      </c>
      <c r="J11" s="55">
        <v>43425</v>
      </c>
      <c r="K11" s="55">
        <v>43456.26</v>
      </c>
      <c r="L11" s="96">
        <v>35000</v>
      </c>
      <c r="M11" s="87"/>
      <c r="N11" s="88"/>
      <c r="O11" s="88"/>
      <c r="P11" s="88"/>
      <c r="Q11" s="89"/>
      <c r="R11" s="46"/>
      <c r="S11" s="46"/>
    </row>
    <row r="12" spans="1:19" ht="16" thickBot="1" x14ac:dyDescent="0.4">
      <c r="A12" s="6"/>
      <c r="B12" s="47"/>
      <c r="C12" s="47"/>
      <c r="D12" s="47" t="s">
        <v>8</v>
      </c>
      <c r="E12" s="47"/>
      <c r="F12" s="47"/>
      <c r="G12" s="54">
        <f>+G11+G9</f>
        <v>35394</v>
      </c>
      <c r="H12" s="54">
        <f>+H11+H9</f>
        <v>44304.22</v>
      </c>
      <c r="I12" s="54">
        <f>+I11+I9</f>
        <v>40586.210000000006</v>
      </c>
      <c r="J12" s="54">
        <f>SUM(J9:J11)</f>
        <v>84977</v>
      </c>
      <c r="K12" s="56">
        <v>43456.26</v>
      </c>
      <c r="L12" s="96">
        <v>35000</v>
      </c>
      <c r="M12" s="57"/>
      <c r="N12" s="88"/>
      <c r="O12" s="88"/>
      <c r="P12" s="88"/>
      <c r="Q12" s="89"/>
      <c r="R12" s="46"/>
      <c r="S12" s="46"/>
    </row>
    <row r="13" spans="1:19" ht="16" thickBot="1" x14ac:dyDescent="0.4">
      <c r="A13" s="6"/>
      <c r="B13" s="47"/>
      <c r="C13" s="47" t="s">
        <v>9</v>
      </c>
      <c r="D13" s="47"/>
      <c r="E13" s="47"/>
      <c r="F13" s="47"/>
      <c r="G13" s="58">
        <f t="shared" ref="G13:I13" si="0">+G12+G7</f>
        <v>440268.84</v>
      </c>
      <c r="H13" s="58">
        <f t="shared" si="0"/>
        <v>389069.22</v>
      </c>
      <c r="I13" s="58">
        <f t="shared" si="0"/>
        <v>394812.1</v>
      </c>
      <c r="J13" s="58">
        <f t="shared" ref="J13" si="1">+J12+J7</f>
        <v>421478</v>
      </c>
      <c r="K13" s="84">
        <v>351377.58</v>
      </c>
      <c r="L13" s="97">
        <v>335000</v>
      </c>
      <c r="M13" s="46"/>
      <c r="N13" s="88"/>
      <c r="O13" s="88"/>
      <c r="P13" s="88"/>
      <c r="Q13" s="89"/>
      <c r="R13" s="46"/>
      <c r="S13" s="46"/>
    </row>
    <row r="14" spans="1:19" ht="16" thickBot="1" x14ac:dyDescent="0.4">
      <c r="A14" s="6"/>
      <c r="B14" s="47" t="s">
        <v>10</v>
      </c>
      <c r="C14" s="47"/>
      <c r="D14" s="47"/>
      <c r="E14" s="47"/>
      <c r="F14" s="47"/>
      <c r="G14" s="51">
        <f t="shared" ref="G14:I14" si="2">+G13</f>
        <v>440268.84</v>
      </c>
      <c r="H14" s="51">
        <f t="shared" si="2"/>
        <v>389069.22</v>
      </c>
      <c r="I14" s="51">
        <f t="shared" si="2"/>
        <v>394812.1</v>
      </c>
      <c r="J14" s="51">
        <f t="shared" ref="J14" si="3">+J13</f>
        <v>421478</v>
      </c>
      <c r="K14" s="83">
        <v>351377.58</v>
      </c>
      <c r="L14" s="99">
        <v>335000</v>
      </c>
      <c r="M14" s="46"/>
      <c r="N14" s="88"/>
      <c r="O14" s="88"/>
      <c r="P14" s="88"/>
      <c r="Q14" s="89"/>
      <c r="R14" s="46"/>
      <c r="S14" s="46"/>
    </row>
    <row r="15" spans="1:19" ht="16" thickBot="1" x14ac:dyDescent="0.4">
      <c r="A15" s="6"/>
      <c r="B15" s="47" t="s">
        <v>11</v>
      </c>
      <c r="C15" s="47"/>
      <c r="D15" s="47"/>
      <c r="E15" s="47"/>
      <c r="F15" s="47"/>
      <c r="G15" s="49"/>
      <c r="H15" s="59"/>
      <c r="I15" s="51"/>
      <c r="J15" s="49"/>
      <c r="L15" s="99"/>
      <c r="M15" s="46"/>
      <c r="N15" s="46"/>
      <c r="O15" s="46"/>
      <c r="P15" s="46"/>
      <c r="Q15" s="46"/>
      <c r="R15" s="46"/>
      <c r="S15" s="46"/>
    </row>
    <row r="16" spans="1:19" ht="15.5" x14ac:dyDescent="0.35">
      <c r="A16" s="6"/>
      <c r="B16" s="47"/>
      <c r="C16" s="47" t="s">
        <v>12</v>
      </c>
      <c r="D16" s="47"/>
      <c r="E16" s="47"/>
      <c r="F16" s="47"/>
      <c r="G16" s="49"/>
      <c r="H16" s="50"/>
      <c r="I16" s="51"/>
      <c r="J16" s="49"/>
      <c r="L16" s="100"/>
      <c r="M16" s="46"/>
      <c r="N16" s="46"/>
      <c r="O16" s="46"/>
      <c r="P16" s="46"/>
      <c r="Q16" s="46"/>
      <c r="R16" s="46"/>
      <c r="S16" s="46"/>
    </row>
    <row r="17" spans="1:19" ht="15.5" x14ac:dyDescent="0.35">
      <c r="A17" s="6"/>
      <c r="B17" s="47"/>
      <c r="C17" s="47"/>
      <c r="D17" s="47" t="s">
        <v>13</v>
      </c>
      <c r="E17" s="47"/>
      <c r="F17" s="47"/>
      <c r="G17" s="49">
        <v>219290.17</v>
      </c>
      <c r="H17" s="50">
        <v>182828.43</v>
      </c>
      <c r="I17" s="51">
        <v>181092.11828999998</v>
      </c>
      <c r="J17" s="60">
        <v>199033</v>
      </c>
      <c r="K17" s="49">
        <v>165110.66</v>
      </c>
      <c r="L17" s="95">
        <v>156236</v>
      </c>
      <c r="M17" s="46"/>
      <c r="N17" s="46"/>
      <c r="O17" s="46"/>
      <c r="P17" s="46"/>
      <c r="Q17" s="46"/>
      <c r="R17" s="46"/>
      <c r="S17" s="46"/>
    </row>
    <row r="18" spans="1:19" ht="16" thickBot="1" x14ac:dyDescent="0.4">
      <c r="A18" s="6"/>
      <c r="B18" s="47"/>
      <c r="C18" s="47"/>
      <c r="D18" s="47" t="s">
        <v>14</v>
      </c>
      <c r="E18" s="47"/>
      <c r="F18" s="47"/>
      <c r="G18" s="49">
        <v>-3049.2</v>
      </c>
      <c r="H18" s="61">
        <v>-16.75</v>
      </c>
      <c r="I18" s="54">
        <v>-1940.75</v>
      </c>
      <c r="J18" s="48">
        <v>-3416</v>
      </c>
      <c r="K18" s="55">
        <v>-1255.3800000000001</v>
      </c>
      <c r="L18" s="96">
        <v>-1255.3800000000001</v>
      </c>
      <c r="M18" s="46"/>
      <c r="N18" s="46"/>
      <c r="O18" s="46"/>
      <c r="P18" s="46"/>
      <c r="Q18" s="46"/>
      <c r="R18" s="46"/>
      <c r="S18" s="46"/>
    </row>
    <row r="19" spans="1:19" ht="16" thickBot="1" x14ac:dyDescent="0.4">
      <c r="A19" s="6"/>
      <c r="B19" s="47"/>
      <c r="C19" s="47" t="s">
        <v>15</v>
      </c>
      <c r="D19" s="47"/>
      <c r="E19" s="47"/>
      <c r="F19" s="47"/>
      <c r="G19" s="58">
        <f t="shared" ref="G19:I19" si="4">+G18+G17</f>
        <v>216240.97</v>
      </c>
      <c r="H19" s="58">
        <f t="shared" si="4"/>
        <v>182811.68</v>
      </c>
      <c r="I19" s="58">
        <f t="shared" si="4"/>
        <v>179151.36828999998</v>
      </c>
      <c r="J19" s="58">
        <f t="shared" ref="J19" si="5">+J18+J17</f>
        <v>195617</v>
      </c>
      <c r="K19" s="85">
        <v>163855.28</v>
      </c>
      <c r="L19" s="101">
        <v>154980.62</v>
      </c>
      <c r="M19" s="46"/>
      <c r="N19" s="46"/>
      <c r="O19" s="46"/>
      <c r="P19" s="46"/>
      <c r="Q19" s="46"/>
      <c r="R19" s="46"/>
      <c r="S19" s="46"/>
    </row>
    <row r="20" spans="1:19" ht="16" thickBot="1" x14ac:dyDescent="0.4">
      <c r="A20" s="6"/>
      <c r="B20" s="47" t="s">
        <v>16</v>
      </c>
      <c r="C20" s="47"/>
      <c r="D20" s="47"/>
      <c r="E20" s="47"/>
      <c r="F20" s="47"/>
      <c r="G20" s="58">
        <f t="shared" ref="G20:I20" si="6">+G19</f>
        <v>216240.97</v>
      </c>
      <c r="H20" s="58">
        <f t="shared" si="6"/>
        <v>182811.68</v>
      </c>
      <c r="I20" s="58">
        <f t="shared" si="6"/>
        <v>179151.36828999998</v>
      </c>
      <c r="J20" s="58">
        <f t="shared" ref="J20" si="7">+J19</f>
        <v>195617</v>
      </c>
      <c r="K20" s="84">
        <v>163855.28</v>
      </c>
      <c r="L20" s="102">
        <v>154980.62</v>
      </c>
      <c r="M20" s="46"/>
      <c r="N20" s="46"/>
      <c r="O20" s="46"/>
      <c r="P20" s="46"/>
      <c r="Q20" s="46"/>
      <c r="R20" s="46"/>
      <c r="S20" s="46"/>
    </row>
    <row r="21" spans="1:19" ht="15.5" x14ac:dyDescent="0.35">
      <c r="B21" s="47" t="s">
        <v>17</v>
      </c>
      <c r="C21" s="47"/>
      <c r="D21" s="47"/>
      <c r="E21" s="47"/>
      <c r="F21" s="47" t="s">
        <v>104</v>
      </c>
      <c r="G21" s="51">
        <f t="shared" ref="G21:I21" si="8">+G14-G20</f>
        <v>224027.87000000002</v>
      </c>
      <c r="H21" s="51">
        <f t="shared" si="8"/>
        <v>206257.53999999998</v>
      </c>
      <c r="I21" s="51">
        <f t="shared" si="8"/>
        <v>215660.73170999999</v>
      </c>
      <c r="J21" s="51">
        <f t="shared" ref="J21" si="9">+J14-J20</f>
        <v>225861</v>
      </c>
      <c r="K21" s="83">
        <v>187522.3</v>
      </c>
      <c r="L21" s="99">
        <v>180019.38</v>
      </c>
      <c r="M21" s="46"/>
      <c r="N21" s="46"/>
      <c r="O21" s="46"/>
      <c r="P21" s="46"/>
      <c r="Q21" s="46"/>
      <c r="R21" s="46"/>
      <c r="S21" s="46"/>
    </row>
    <row r="22" spans="1:19" ht="15.5" x14ac:dyDescent="0.35">
      <c r="A22" s="6"/>
      <c r="B22" s="47"/>
      <c r="C22" s="47"/>
      <c r="D22" s="47"/>
      <c r="E22" s="45" t="s">
        <v>105</v>
      </c>
      <c r="F22" s="47"/>
      <c r="G22" s="62">
        <f t="shared" ref="G22:I22" si="10">+G21/G14</f>
        <v>0.50884334671515707</v>
      </c>
      <c r="H22" s="62">
        <f t="shared" si="10"/>
        <v>0.53013070527655715</v>
      </c>
      <c r="I22" s="62">
        <f t="shared" si="10"/>
        <v>0.54623637854564233</v>
      </c>
      <c r="J22" s="62">
        <f t="shared" ref="J22:L22" si="11">+J21/J14</f>
        <v>0.53587850374159507</v>
      </c>
      <c r="K22" s="62">
        <f t="shared" si="11"/>
        <v>0.53367747595051451</v>
      </c>
      <c r="L22" s="103">
        <f t="shared" si="11"/>
        <v>0.53737128358208952</v>
      </c>
      <c r="M22" s="46"/>
      <c r="N22" s="46"/>
      <c r="O22" s="46"/>
      <c r="P22" s="46"/>
      <c r="Q22" s="46"/>
      <c r="R22" s="46"/>
      <c r="S22" s="46"/>
    </row>
    <row r="23" spans="1:19" ht="15.5" x14ac:dyDescent="0.35">
      <c r="A23" s="6"/>
      <c r="B23" s="47" t="s">
        <v>18</v>
      </c>
      <c r="C23" s="47"/>
      <c r="D23" s="47"/>
      <c r="E23" s="47"/>
      <c r="F23" s="47"/>
      <c r="G23" s="49"/>
      <c r="H23" s="50"/>
      <c r="I23" s="51"/>
      <c r="J23" s="49"/>
      <c r="K23" s="49"/>
      <c r="L23" s="100"/>
      <c r="M23" s="46"/>
      <c r="N23" s="46"/>
      <c r="O23" s="46"/>
      <c r="P23" s="46"/>
      <c r="Q23" s="46"/>
      <c r="R23" s="46"/>
      <c r="S23" s="46"/>
    </row>
    <row r="24" spans="1:19" ht="15.5" x14ac:dyDescent="0.35">
      <c r="A24" s="6"/>
      <c r="B24" s="47"/>
      <c r="C24" s="47" t="s">
        <v>19</v>
      </c>
      <c r="D24" s="47"/>
      <c r="E24" s="47"/>
      <c r="F24" s="47"/>
      <c r="G24" s="49"/>
      <c r="H24" s="48"/>
      <c r="I24" s="51"/>
      <c r="J24" s="49"/>
      <c r="K24" s="49"/>
      <c r="L24" s="103"/>
      <c r="M24" s="46"/>
      <c r="N24" s="46"/>
      <c r="O24" s="46"/>
      <c r="P24" s="46"/>
      <c r="Q24" s="46"/>
      <c r="R24" s="46"/>
      <c r="S24" s="46"/>
    </row>
    <row r="25" spans="1:19" ht="15.5" x14ac:dyDescent="0.35">
      <c r="A25" s="6"/>
      <c r="B25" s="47"/>
      <c r="C25" s="47"/>
      <c r="D25" s="47" t="s">
        <v>20</v>
      </c>
      <c r="E25" s="47"/>
      <c r="F25" s="47"/>
      <c r="G25" s="49"/>
      <c r="H25" s="48"/>
      <c r="I25" s="51"/>
      <c r="J25" s="49"/>
      <c r="K25" s="49"/>
      <c r="L25" s="53"/>
      <c r="M25" s="46"/>
      <c r="N25" s="46"/>
      <c r="O25" s="46"/>
      <c r="P25" s="46"/>
      <c r="Q25" s="46"/>
      <c r="R25" s="46"/>
      <c r="S25" s="46"/>
    </row>
    <row r="26" spans="1:19" ht="15.5" x14ac:dyDescent="0.35">
      <c r="A26" s="6"/>
      <c r="B26" s="47"/>
      <c r="C26" s="47"/>
      <c r="D26" s="47"/>
      <c r="E26" s="47" t="s">
        <v>21</v>
      </c>
      <c r="F26" s="47"/>
      <c r="G26" s="49">
        <v>37379.629999999997</v>
      </c>
      <c r="H26" s="50">
        <v>38466.769999999997</v>
      </c>
      <c r="I26" s="51">
        <v>40535</v>
      </c>
      <c r="J26" s="49">
        <v>38861</v>
      </c>
      <c r="K26" s="49">
        <v>39084.44</v>
      </c>
      <c r="L26" s="95">
        <v>39000</v>
      </c>
      <c r="M26" s="63"/>
      <c r="N26" s="64">
        <v>39000</v>
      </c>
      <c r="O26" s="46"/>
      <c r="P26" s="46"/>
      <c r="Q26" s="46"/>
      <c r="R26" s="48"/>
      <c r="S26" s="46"/>
    </row>
    <row r="27" spans="1:19" ht="15.5" x14ac:dyDescent="0.35">
      <c r="A27" s="6"/>
      <c r="B27" s="47"/>
      <c r="C27" s="47"/>
      <c r="D27" s="47"/>
      <c r="E27" s="47" t="s">
        <v>106</v>
      </c>
      <c r="F27" s="47"/>
      <c r="G27" s="49">
        <v>30601.98</v>
      </c>
      <c r="H27" s="50">
        <v>31196.18</v>
      </c>
      <c r="I27" s="51">
        <v>22285</v>
      </c>
      <c r="J27" s="49">
        <v>22283</v>
      </c>
      <c r="K27" s="49">
        <v>22809.08</v>
      </c>
      <c r="L27" s="95">
        <v>25760</v>
      </c>
      <c r="M27" s="63"/>
      <c r="N27" s="46" t="s">
        <v>107</v>
      </c>
      <c r="O27" s="46" t="s">
        <v>128</v>
      </c>
      <c r="P27" s="46"/>
      <c r="Q27" s="46"/>
      <c r="R27" s="46"/>
      <c r="S27" s="46"/>
    </row>
    <row r="28" spans="1:19" ht="15.5" x14ac:dyDescent="0.35">
      <c r="A28" s="6"/>
      <c r="B28" s="47"/>
      <c r="C28" s="47"/>
      <c r="D28" s="47"/>
      <c r="E28" s="47" t="s">
        <v>108</v>
      </c>
      <c r="F28" s="47"/>
      <c r="G28" s="49"/>
      <c r="H28" s="50"/>
      <c r="I28" s="51"/>
      <c r="J28" s="49"/>
      <c r="K28" s="49">
        <v>9911.0400000000009</v>
      </c>
      <c r="L28" s="95">
        <v>0</v>
      </c>
      <c r="M28" s="63"/>
      <c r="N28" s="46"/>
      <c r="O28" s="46" t="s">
        <v>109</v>
      </c>
      <c r="P28" s="46"/>
      <c r="Q28" s="46"/>
      <c r="R28" s="46"/>
      <c r="S28" s="46"/>
    </row>
    <row r="29" spans="1:19" ht="15.5" x14ac:dyDescent="0.35">
      <c r="A29" s="6"/>
      <c r="B29" s="47"/>
      <c r="C29" s="47"/>
      <c r="D29" s="47"/>
      <c r="E29" s="47" t="s">
        <v>24</v>
      </c>
      <c r="F29" s="47"/>
      <c r="G29" s="49">
        <v>6023.22</v>
      </c>
      <c r="H29" s="50">
        <v>4469.76</v>
      </c>
      <c r="I29" s="51">
        <v>3780</v>
      </c>
      <c r="J29" s="49">
        <v>3041</v>
      </c>
      <c r="K29" s="49">
        <v>4361.57</v>
      </c>
      <c r="L29" s="104">
        <v>4361.57</v>
      </c>
      <c r="M29" s="63"/>
      <c r="N29" s="48" t="s">
        <v>110</v>
      </c>
      <c r="O29" s="46"/>
      <c r="P29" s="46"/>
      <c r="Q29" s="46"/>
      <c r="S29" s="46"/>
    </row>
    <row r="30" spans="1:19" ht="15.5" x14ac:dyDescent="0.35">
      <c r="A30" s="6"/>
      <c r="B30" s="47"/>
      <c r="C30" s="47"/>
      <c r="D30" s="47"/>
      <c r="E30" s="47" t="s">
        <v>25</v>
      </c>
      <c r="F30" s="47"/>
      <c r="G30" s="49">
        <v>973.48</v>
      </c>
      <c r="H30" s="48"/>
      <c r="I30" s="51">
        <v>2930</v>
      </c>
      <c r="J30" s="49">
        <v>8607</v>
      </c>
      <c r="K30" s="49">
        <v>3923.72</v>
      </c>
      <c r="L30" s="95">
        <f>+'2021 Budget'!U27</f>
        <v>3620</v>
      </c>
      <c r="M30" s="63"/>
      <c r="N30" s="64" t="s">
        <v>127</v>
      </c>
      <c r="O30" s="46"/>
      <c r="P30" s="46"/>
      <c r="Q30" s="46"/>
      <c r="R30" s="46"/>
      <c r="S30" s="46"/>
    </row>
    <row r="31" spans="1:19" ht="15.5" x14ac:dyDescent="0.35">
      <c r="A31" s="6"/>
      <c r="B31" s="47"/>
      <c r="C31" s="47"/>
      <c r="D31" s="47"/>
      <c r="E31" s="47" t="s">
        <v>26</v>
      </c>
      <c r="F31" s="47"/>
      <c r="G31" s="49">
        <v>5707.02</v>
      </c>
      <c r="H31" s="50">
        <v>5671.13</v>
      </c>
      <c r="I31" s="51">
        <v>5322</v>
      </c>
      <c r="J31" s="51">
        <v>5569</v>
      </c>
      <c r="K31" s="51">
        <v>6132.3440000000001</v>
      </c>
      <c r="L31" s="95">
        <f>+'2021 Budget'!U28</f>
        <v>5601.1008899999997</v>
      </c>
      <c r="M31" s="63"/>
      <c r="N31" s="46" t="s">
        <v>123</v>
      </c>
      <c r="O31" s="46"/>
      <c r="P31" s="46"/>
      <c r="Q31" s="46"/>
      <c r="R31" s="46"/>
      <c r="S31" s="46"/>
    </row>
    <row r="32" spans="1:19" ht="16" thickBot="1" x14ac:dyDescent="0.4">
      <c r="A32" s="6"/>
      <c r="B32" s="47"/>
      <c r="C32" s="47"/>
      <c r="D32" s="47"/>
      <c r="E32" s="47" t="s">
        <v>27</v>
      </c>
      <c r="F32" s="47"/>
      <c r="G32" s="55">
        <v>600</v>
      </c>
      <c r="H32" s="61">
        <v>400</v>
      </c>
      <c r="I32" s="54">
        <v>550</v>
      </c>
      <c r="J32" s="55">
        <v>654</v>
      </c>
      <c r="K32" s="55">
        <v>750</v>
      </c>
      <c r="L32" s="96">
        <v>660</v>
      </c>
      <c r="M32" s="63"/>
      <c r="N32" s="46" t="s">
        <v>124</v>
      </c>
      <c r="O32" s="46"/>
      <c r="P32" s="46"/>
      <c r="Q32" s="46"/>
      <c r="R32" s="46"/>
      <c r="S32" s="46"/>
    </row>
    <row r="33" spans="1:19" ht="15.5" x14ac:dyDescent="0.35">
      <c r="A33" s="6"/>
      <c r="B33" s="47"/>
      <c r="C33" s="47"/>
      <c r="D33" s="47" t="s">
        <v>28</v>
      </c>
      <c r="E33" s="65"/>
      <c r="F33" s="65"/>
      <c r="G33" s="51">
        <f t="shared" ref="G33:I33" si="12">SUM(G26:G32)</f>
        <v>81285.33</v>
      </c>
      <c r="H33" s="51">
        <f t="shared" si="12"/>
        <v>80203.839999999997</v>
      </c>
      <c r="I33" s="51">
        <f t="shared" si="12"/>
        <v>75402</v>
      </c>
      <c r="J33" s="51">
        <f t="shared" ref="J33:L33" si="13">SUM(J26:J32)</f>
        <v>79015</v>
      </c>
      <c r="K33" s="51">
        <v>86972.194000000003</v>
      </c>
      <c r="L33" s="100">
        <f t="shared" si="13"/>
        <v>79002.670890000009</v>
      </c>
      <c r="M33" s="63"/>
      <c r="N33" s="46"/>
      <c r="O33" s="46"/>
      <c r="P33" s="46"/>
      <c r="Q33" s="46"/>
      <c r="R33" s="46"/>
      <c r="S33" s="46"/>
    </row>
    <row r="34" spans="1:19" ht="15.5" x14ac:dyDescent="0.35">
      <c r="A34" s="6"/>
      <c r="B34" s="47"/>
      <c r="C34" s="47"/>
      <c r="D34" s="47" t="s">
        <v>29</v>
      </c>
      <c r="E34" s="65"/>
      <c r="F34" s="65"/>
      <c r="G34" s="49">
        <v>13840</v>
      </c>
      <c r="H34" s="50">
        <v>12950</v>
      </c>
      <c r="I34" s="51">
        <v>11953.130000000001</v>
      </c>
      <c r="J34" s="49">
        <v>12275</v>
      </c>
      <c r="K34" s="49">
        <v>6611.99</v>
      </c>
      <c r="L34" s="98">
        <v>12020</v>
      </c>
      <c r="M34" s="63"/>
      <c r="N34" s="46"/>
      <c r="O34" s="46"/>
      <c r="P34" s="46"/>
      <c r="Q34" s="46"/>
      <c r="R34" s="46"/>
      <c r="S34" s="46"/>
    </row>
    <row r="35" spans="1:19" ht="15.5" x14ac:dyDescent="0.35">
      <c r="A35" s="6"/>
      <c r="B35" s="47"/>
      <c r="C35" s="47"/>
      <c r="D35" s="47" t="s">
        <v>30</v>
      </c>
      <c r="E35" s="65"/>
      <c r="F35" s="65"/>
      <c r="G35" s="49">
        <v>8365.86</v>
      </c>
      <c r="H35" s="50">
        <v>7257.41</v>
      </c>
      <c r="I35" s="51">
        <v>6996</v>
      </c>
      <c r="J35" s="49">
        <v>8055</v>
      </c>
      <c r="K35" s="49">
        <v>6878.8447999999999</v>
      </c>
      <c r="L35" s="100">
        <v>6532.5</v>
      </c>
      <c r="M35" s="63"/>
      <c r="N35" s="46" t="s">
        <v>125</v>
      </c>
      <c r="O35" s="46"/>
      <c r="P35" s="46"/>
      <c r="Q35" s="46"/>
      <c r="R35" s="46"/>
      <c r="S35" s="46"/>
    </row>
    <row r="36" spans="1:19" ht="15.5" x14ac:dyDescent="0.35">
      <c r="A36" s="6"/>
      <c r="B36" s="47"/>
      <c r="C36" s="47"/>
      <c r="D36" s="47" t="s">
        <v>31</v>
      </c>
      <c r="E36" s="65"/>
      <c r="F36" s="65"/>
      <c r="G36" s="49">
        <v>4383</v>
      </c>
      <c r="H36" s="50">
        <v>5643</v>
      </c>
      <c r="I36" s="51">
        <v>6824</v>
      </c>
      <c r="J36" s="49">
        <v>2215</v>
      </c>
      <c r="K36" s="49">
        <v>4508</v>
      </c>
      <c r="L36" s="95">
        <v>4508</v>
      </c>
      <c r="M36" s="63"/>
      <c r="N36" s="46"/>
      <c r="O36" s="46"/>
      <c r="P36" s="46"/>
      <c r="Q36" s="46"/>
      <c r="R36" s="46"/>
      <c r="S36" s="46"/>
    </row>
    <row r="37" spans="1:19" ht="15.5" x14ac:dyDescent="0.35">
      <c r="A37" s="6"/>
      <c r="B37" s="47"/>
      <c r="C37" s="47"/>
      <c r="D37" s="47" t="s">
        <v>32</v>
      </c>
      <c r="E37" s="47"/>
      <c r="F37" s="47"/>
      <c r="G37" s="49"/>
      <c r="H37" s="50"/>
      <c r="I37" s="66"/>
      <c r="J37" s="49"/>
      <c r="K37" s="49">
        <v>0</v>
      </c>
      <c r="L37" s="105">
        <v>0</v>
      </c>
      <c r="M37" s="63"/>
      <c r="N37" s="46"/>
      <c r="O37" s="46"/>
      <c r="P37" s="46"/>
      <c r="Q37" s="46"/>
      <c r="R37" s="46"/>
      <c r="S37" s="46"/>
    </row>
    <row r="38" spans="1:19" ht="15.5" x14ac:dyDescent="0.35">
      <c r="A38" s="6"/>
      <c r="B38" s="47"/>
      <c r="C38" s="47"/>
      <c r="D38" s="47"/>
      <c r="E38" s="47" t="s">
        <v>33</v>
      </c>
      <c r="F38" s="47"/>
      <c r="G38" s="49">
        <v>3612.45</v>
      </c>
      <c r="H38" s="50">
        <v>2800</v>
      </c>
      <c r="I38" s="51">
        <v>275</v>
      </c>
      <c r="J38" s="49">
        <v>350</v>
      </c>
      <c r="K38" s="49">
        <v>300</v>
      </c>
      <c r="L38" s="95">
        <v>300</v>
      </c>
      <c r="M38" s="63"/>
      <c r="N38" s="46"/>
      <c r="O38" s="46"/>
      <c r="P38" s="46"/>
      <c r="Q38" s="46"/>
      <c r="R38" s="46"/>
      <c r="S38" s="46"/>
    </row>
    <row r="39" spans="1:19" ht="15.5" x14ac:dyDescent="0.35">
      <c r="A39" s="6"/>
      <c r="B39" s="47"/>
      <c r="C39" s="47"/>
      <c r="D39" s="47"/>
      <c r="E39" s="47" t="s">
        <v>34</v>
      </c>
      <c r="F39" s="47"/>
      <c r="G39" s="49">
        <v>79.72</v>
      </c>
      <c r="H39" s="50">
        <v>885.85</v>
      </c>
      <c r="I39" s="51">
        <v>299.05</v>
      </c>
      <c r="J39" s="49">
        <v>145</v>
      </c>
      <c r="K39" s="49">
        <v>240.03</v>
      </c>
      <c r="L39" s="95">
        <v>240.03</v>
      </c>
      <c r="M39" s="63"/>
      <c r="N39" s="46"/>
      <c r="O39" s="46"/>
      <c r="P39" s="46"/>
      <c r="Q39" s="46"/>
      <c r="R39" s="46"/>
      <c r="S39" s="46"/>
    </row>
    <row r="40" spans="1:19" ht="16" thickBot="1" x14ac:dyDescent="0.4">
      <c r="A40" s="6"/>
      <c r="B40" s="47"/>
      <c r="C40" s="47"/>
      <c r="D40" s="47"/>
      <c r="E40" s="47" t="s">
        <v>35</v>
      </c>
      <c r="F40" s="47"/>
      <c r="G40" s="55">
        <v>2628.42</v>
      </c>
      <c r="H40" s="61">
        <v>2216.6999999999998</v>
      </c>
      <c r="I40" s="54">
        <v>1830</v>
      </c>
      <c r="J40" s="55">
        <v>4494.4399999999996</v>
      </c>
      <c r="K40" s="55">
        <v>3052.92</v>
      </c>
      <c r="L40" s="96">
        <v>2202.92</v>
      </c>
      <c r="M40" s="63"/>
      <c r="N40" s="46"/>
      <c r="O40" s="46"/>
      <c r="P40" s="46"/>
      <c r="Q40" s="46"/>
      <c r="R40" s="46"/>
      <c r="S40" s="46"/>
    </row>
    <row r="41" spans="1:19" ht="15.5" x14ac:dyDescent="0.35">
      <c r="A41" s="6"/>
      <c r="B41" s="47"/>
      <c r="C41" s="47"/>
      <c r="D41" s="47" t="s">
        <v>36</v>
      </c>
      <c r="E41" s="65"/>
      <c r="F41" s="65"/>
      <c r="G41" s="51">
        <f t="shared" ref="G41:I41" si="14">+G40+G39+G38</f>
        <v>6320.59</v>
      </c>
      <c r="H41" s="51">
        <f t="shared" si="14"/>
        <v>5902.5499999999993</v>
      </c>
      <c r="I41" s="51">
        <f t="shared" si="14"/>
        <v>2404.0500000000002</v>
      </c>
      <c r="J41" s="49">
        <f>+J40+J39+J38</f>
        <v>4989.4399999999996</v>
      </c>
      <c r="K41" s="49">
        <v>3592.95</v>
      </c>
      <c r="L41" s="95">
        <v>2742.95</v>
      </c>
      <c r="M41" s="63"/>
      <c r="N41" s="46"/>
      <c r="O41" s="46"/>
      <c r="P41" s="46"/>
      <c r="Q41" s="46"/>
      <c r="R41" s="46"/>
      <c r="S41" s="46"/>
    </row>
    <row r="42" spans="1:19" ht="15.5" x14ac:dyDescent="0.35">
      <c r="A42" s="6"/>
      <c r="B42" s="47"/>
      <c r="C42" s="47"/>
      <c r="D42" s="47"/>
      <c r="E42" s="47"/>
      <c r="F42" s="47" t="s">
        <v>111</v>
      </c>
      <c r="G42" s="51"/>
      <c r="H42" s="51"/>
      <c r="I42" s="51"/>
      <c r="J42" s="49">
        <v>4157</v>
      </c>
      <c r="K42" s="49">
        <v>18447.25</v>
      </c>
      <c r="L42" s="98"/>
      <c r="M42" s="63"/>
      <c r="N42" s="46"/>
      <c r="O42" s="46"/>
      <c r="P42" s="46"/>
      <c r="Q42" s="46"/>
      <c r="R42" s="46"/>
      <c r="S42" s="46"/>
    </row>
    <row r="43" spans="1:19" ht="16" thickBot="1" x14ac:dyDescent="0.4">
      <c r="A43" s="6"/>
      <c r="B43" s="47"/>
      <c r="C43" s="47"/>
      <c r="D43" s="47"/>
      <c r="E43" s="90"/>
      <c r="F43" s="90" t="s">
        <v>112</v>
      </c>
      <c r="G43" s="54"/>
      <c r="H43" s="54"/>
      <c r="I43" s="54"/>
      <c r="J43" s="55">
        <v>115977</v>
      </c>
      <c r="K43" s="55">
        <v>64662.47</v>
      </c>
      <c r="L43" s="96">
        <v>71124</v>
      </c>
      <c r="M43" s="63"/>
      <c r="N43" s="46"/>
      <c r="O43" s="46"/>
      <c r="P43" s="46"/>
      <c r="Q43" s="46"/>
      <c r="R43" s="46"/>
      <c r="S43" s="46"/>
    </row>
    <row r="44" spans="1:19" ht="15.5" x14ac:dyDescent="0.35">
      <c r="A44" s="6"/>
      <c r="B44" s="47"/>
      <c r="C44" s="47"/>
      <c r="D44" s="47" t="s">
        <v>37</v>
      </c>
      <c r="E44" s="65"/>
      <c r="F44" s="65"/>
      <c r="G44" s="49">
        <v>100101.3</v>
      </c>
      <c r="H44" s="50">
        <v>102681.16</v>
      </c>
      <c r="I44" s="51">
        <v>106534.27</v>
      </c>
      <c r="J44" s="49">
        <f>+J43+J42</f>
        <v>120134</v>
      </c>
      <c r="K44" s="49">
        <v>81322.38</v>
      </c>
      <c r="L44" s="105">
        <f>+L43+L42</f>
        <v>71124</v>
      </c>
      <c r="M44" s="63"/>
      <c r="N44" s="46"/>
      <c r="O44" s="46"/>
      <c r="P44" s="46"/>
      <c r="Q44" s="46"/>
      <c r="R44" s="46"/>
      <c r="S44" s="46"/>
    </row>
    <row r="45" spans="1:19" ht="15.5" x14ac:dyDescent="0.35">
      <c r="A45" s="6"/>
      <c r="B45" s="47"/>
      <c r="C45" s="47"/>
      <c r="D45" s="47" t="s">
        <v>41</v>
      </c>
      <c r="E45" s="65"/>
      <c r="F45" s="65"/>
      <c r="G45" s="49">
        <v>1027</v>
      </c>
      <c r="H45" s="50">
        <v>1030.8599999999999</v>
      </c>
      <c r="I45" s="51">
        <v>683</v>
      </c>
      <c r="J45" s="49">
        <v>780.4</v>
      </c>
      <c r="K45" s="49">
        <v>1057.82</v>
      </c>
      <c r="L45" s="95">
        <v>813.82</v>
      </c>
      <c r="M45" s="63"/>
      <c r="N45" s="46"/>
      <c r="O45" s="46"/>
      <c r="P45" s="46"/>
      <c r="Q45" s="46"/>
      <c r="R45" s="46"/>
      <c r="S45" s="46"/>
    </row>
    <row r="46" spans="1:19" ht="15.5" x14ac:dyDescent="0.35">
      <c r="A46" s="6"/>
      <c r="B46" s="47"/>
      <c r="C46" s="47"/>
      <c r="D46" s="47" t="s">
        <v>42</v>
      </c>
      <c r="E46" s="65"/>
      <c r="F46" s="65"/>
      <c r="G46" s="49">
        <v>2653.77</v>
      </c>
      <c r="H46" s="50">
        <v>2195.63</v>
      </c>
      <c r="I46" s="51">
        <v>2100</v>
      </c>
      <c r="J46" s="49">
        <v>1989.5</v>
      </c>
      <c r="K46" s="49">
        <v>1948.08</v>
      </c>
      <c r="L46" s="95">
        <v>2548.08</v>
      </c>
      <c r="M46" s="63"/>
      <c r="N46" s="46"/>
      <c r="O46" s="46"/>
      <c r="P46" s="46"/>
      <c r="Q46" s="46"/>
      <c r="R46" s="46"/>
      <c r="S46" s="46"/>
    </row>
    <row r="47" spans="1:19" ht="15.5" x14ac:dyDescent="0.35">
      <c r="A47" s="6"/>
      <c r="B47" s="47"/>
      <c r="C47" s="47"/>
      <c r="D47" s="47" t="s">
        <v>113</v>
      </c>
      <c r="E47" s="65"/>
      <c r="F47" s="65"/>
      <c r="G47" s="49">
        <v>122.63</v>
      </c>
      <c r="H47" s="50">
        <v>120.33</v>
      </c>
      <c r="I47" s="51"/>
      <c r="J47" s="49">
        <v>446</v>
      </c>
      <c r="K47" s="49">
        <v>1240.28</v>
      </c>
      <c r="L47" s="95">
        <v>1240.28</v>
      </c>
      <c r="M47" s="63"/>
      <c r="N47" s="46"/>
      <c r="O47" s="46"/>
      <c r="P47" s="46"/>
      <c r="Q47" s="46"/>
      <c r="R47" s="46"/>
      <c r="S47" s="46"/>
    </row>
    <row r="48" spans="1:19" ht="15.5" x14ac:dyDescent="0.35">
      <c r="A48" s="6"/>
      <c r="B48" s="47"/>
      <c r="C48" s="47"/>
      <c r="D48" s="47" t="s">
        <v>44</v>
      </c>
      <c r="E48" s="47"/>
      <c r="F48" s="47"/>
      <c r="G48" s="49"/>
      <c r="H48" s="50"/>
      <c r="I48" s="51">
        <v>0</v>
      </c>
      <c r="J48" s="49"/>
      <c r="K48" s="49">
        <v>0</v>
      </c>
      <c r="L48" s="95">
        <v>0</v>
      </c>
      <c r="M48" s="63"/>
      <c r="N48" s="46"/>
      <c r="O48" s="46"/>
      <c r="P48" s="46"/>
      <c r="Q48" s="46"/>
      <c r="R48" s="46"/>
      <c r="S48" s="46"/>
    </row>
    <row r="49" spans="1:19" ht="15.5" x14ac:dyDescent="0.35">
      <c r="A49" s="6"/>
      <c r="B49" s="47"/>
      <c r="C49" s="47"/>
      <c r="D49" s="47"/>
      <c r="E49" s="47" t="s">
        <v>45</v>
      </c>
      <c r="F49" s="47"/>
      <c r="G49" s="49">
        <v>722.49</v>
      </c>
      <c r="H49" s="50">
        <v>637.47</v>
      </c>
      <c r="I49" s="51">
        <v>738</v>
      </c>
      <c r="J49" s="49">
        <v>587</v>
      </c>
      <c r="K49" s="49">
        <v>643.26</v>
      </c>
      <c r="L49" s="95">
        <v>720</v>
      </c>
      <c r="M49" s="63"/>
      <c r="N49" s="46"/>
      <c r="O49" s="46"/>
      <c r="P49" s="46"/>
      <c r="Q49" s="46"/>
      <c r="R49" s="46"/>
      <c r="S49" s="46"/>
    </row>
    <row r="50" spans="1:19" ht="15.5" x14ac:dyDescent="0.35">
      <c r="A50" s="6"/>
      <c r="B50" s="47"/>
      <c r="C50" s="47"/>
      <c r="D50" s="47"/>
      <c r="E50" s="47" t="s">
        <v>46</v>
      </c>
      <c r="F50" s="47"/>
      <c r="G50" s="49">
        <v>3895.04</v>
      </c>
      <c r="H50" s="50">
        <v>3824.57</v>
      </c>
      <c r="I50" s="51">
        <v>4011</v>
      </c>
      <c r="J50" s="49">
        <v>4374.7</v>
      </c>
      <c r="K50" s="49">
        <v>3743.14</v>
      </c>
      <c r="L50" s="95">
        <v>4199.76</v>
      </c>
      <c r="M50" s="63"/>
      <c r="N50" s="46"/>
      <c r="O50" s="46"/>
      <c r="P50" s="46"/>
      <c r="Q50" s="46"/>
      <c r="R50" s="46"/>
      <c r="S50" s="46"/>
    </row>
    <row r="51" spans="1:19" ht="15.5" x14ac:dyDescent="0.35">
      <c r="A51" s="6"/>
      <c r="B51" s="47"/>
      <c r="C51" s="47"/>
      <c r="D51" s="47"/>
      <c r="E51" s="47" t="s">
        <v>47</v>
      </c>
      <c r="F51" s="47"/>
      <c r="G51" s="49">
        <v>532.91</v>
      </c>
      <c r="H51" s="50">
        <v>462.28</v>
      </c>
      <c r="I51" s="51">
        <v>831</v>
      </c>
      <c r="J51" s="49">
        <v>1291.81</v>
      </c>
      <c r="K51" s="49">
        <v>1566.05</v>
      </c>
      <c r="L51" s="95">
        <v>1224.01</v>
      </c>
      <c r="M51" s="63"/>
      <c r="N51" s="46"/>
      <c r="O51" s="46"/>
      <c r="P51" s="46"/>
      <c r="Q51" s="46"/>
      <c r="R51" s="46"/>
      <c r="S51" s="46"/>
    </row>
    <row r="52" spans="1:19" ht="15.5" x14ac:dyDescent="0.35">
      <c r="A52" s="6"/>
      <c r="B52" s="47"/>
      <c r="C52" s="47"/>
      <c r="D52" s="47"/>
      <c r="E52" s="47" t="s">
        <v>48</v>
      </c>
      <c r="F52" s="47"/>
      <c r="G52" s="49">
        <v>91.54</v>
      </c>
      <c r="H52" s="50">
        <v>110.88</v>
      </c>
      <c r="I52" s="51">
        <v>163</v>
      </c>
      <c r="J52" s="49">
        <v>258.64</v>
      </c>
      <c r="K52" s="49">
        <v>89.2</v>
      </c>
      <c r="L52" s="95">
        <v>104.6</v>
      </c>
      <c r="M52" s="63"/>
      <c r="N52" s="46"/>
      <c r="O52" s="46"/>
      <c r="P52" s="46"/>
      <c r="Q52" s="46"/>
      <c r="R52" s="46"/>
      <c r="S52" s="46"/>
    </row>
    <row r="53" spans="1:19" ht="15.5" x14ac:dyDescent="0.35">
      <c r="A53" s="6"/>
      <c r="B53" s="47"/>
      <c r="C53" s="47"/>
      <c r="D53" s="47"/>
      <c r="E53" s="47" t="s">
        <v>49</v>
      </c>
      <c r="F53" s="47"/>
      <c r="G53" s="49">
        <v>1160.3699999999999</v>
      </c>
      <c r="H53" s="50">
        <v>968.14</v>
      </c>
      <c r="I53" s="51">
        <v>1305</v>
      </c>
      <c r="J53" s="49">
        <v>966.25</v>
      </c>
      <c r="K53" s="91">
        <v>625.19000000000005</v>
      </c>
      <c r="L53" s="95">
        <v>867.55</v>
      </c>
      <c r="M53" s="63"/>
      <c r="N53" s="46"/>
      <c r="O53" s="46"/>
      <c r="P53" s="46"/>
      <c r="Q53" s="46"/>
      <c r="R53" s="46"/>
      <c r="S53" s="46"/>
    </row>
    <row r="54" spans="1:19" ht="16" thickBot="1" x14ac:dyDescent="0.4">
      <c r="A54" s="6"/>
      <c r="B54" s="47"/>
      <c r="C54" s="47"/>
      <c r="D54" s="47"/>
      <c r="E54" s="47" t="s">
        <v>50</v>
      </c>
      <c r="F54" s="47"/>
      <c r="G54" s="55">
        <v>0</v>
      </c>
      <c r="H54" s="61">
        <v>0</v>
      </c>
      <c r="I54" s="54">
        <v>0</v>
      </c>
      <c r="J54" s="67"/>
      <c r="K54" s="54">
        <v>0</v>
      </c>
      <c r="L54" s="96">
        <v>0</v>
      </c>
      <c r="M54" s="63"/>
      <c r="N54" s="46"/>
      <c r="O54" s="46"/>
      <c r="P54" s="46"/>
      <c r="Q54" s="46"/>
      <c r="R54" s="46"/>
      <c r="S54" s="46"/>
    </row>
    <row r="55" spans="1:19" ht="15.5" x14ac:dyDescent="0.35">
      <c r="A55" s="6"/>
      <c r="B55" s="47"/>
      <c r="C55" s="47"/>
      <c r="D55" s="47" t="s">
        <v>51</v>
      </c>
      <c r="E55" s="65"/>
      <c r="F55" s="65"/>
      <c r="G55" s="51">
        <f t="shared" ref="G55:I55" si="15">SUM(G49:G53)</f>
        <v>6402.3499999999995</v>
      </c>
      <c r="H55" s="51">
        <f t="shared" si="15"/>
        <v>6003.34</v>
      </c>
      <c r="I55" s="51">
        <f t="shared" si="15"/>
        <v>7048</v>
      </c>
      <c r="J55" s="51">
        <f t="shared" ref="J55" si="16">SUM(J49:J53)</f>
        <v>7478.4000000000005</v>
      </c>
      <c r="K55" s="70">
        <v>6666.84</v>
      </c>
      <c r="L55" s="98">
        <v>7115.92</v>
      </c>
      <c r="M55" s="63"/>
      <c r="N55" s="46"/>
      <c r="O55" s="46"/>
      <c r="P55" s="46"/>
      <c r="Q55" s="46"/>
      <c r="R55" s="46"/>
      <c r="S55" s="46"/>
    </row>
    <row r="56" spans="1:19" ht="15.5" x14ac:dyDescent="0.35">
      <c r="A56" s="6"/>
      <c r="B56" s="68"/>
      <c r="C56" s="68"/>
      <c r="D56" s="68" t="s">
        <v>114</v>
      </c>
      <c r="E56" s="69"/>
      <c r="F56" s="69"/>
      <c r="G56" s="70">
        <v>1318.4</v>
      </c>
      <c r="H56" s="71">
        <v>2216.56</v>
      </c>
      <c r="I56" s="72">
        <v>2015</v>
      </c>
      <c r="J56" s="70">
        <v>1376.05</v>
      </c>
      <c r="K56" s="70">
        <v>1597.5</v>
      </c>
      <c r="L56" s="100">
        <v>1597.5</v>
      </c>
      <c r="M56" s="73"/>
    </row>
    <row r="57" spans="1:19" x14ac:dyDescent="0.35">
      <c r="A57" s="6"/>
      <c r="B57" s="68"/>
      <c r="C57" s="68"/>
      <c r="D57" s="68" t="s">
        <v>115</v>
      </c>
      <c r="E57" s="68"/>
      <c r="F57" s="68"/>
      <c r="G57" s="70"/>
      <c r="H57" s="71"/>
      <c r="I57" s="72">
        <v>0</v>
      </c>
      <c r="J57" s="70"/>
      <c r="K57" s="70">
        <v>0</v>
      </c>
      <c r="L57" s="106">
        <v>0</v>
      </c>
      <c r="M57" s="73"/>
    </row>
    <row r="58" spans="1:19" x14ac:dyDescent="0.35">
      <c r="A58" s="6"/>
      <c r="B58" s="68"/>
      <c r="C58" s="68"/>
      <c r="D58" s="68"/>
      <c r="E58" s="68" t="s">
        <v>54</v>
      </c>
      <c r="F58" s="68"/>
      <c r="G58" s="70">
        <v>1074.52</v>
      </c>
      <c r="H58" s="71">
        <v>553.24</v>
      </c>
      <c r="I58" s="72">
        <v>771</v>
      </c>
      <c r="J58" s="70">
        <v>869</v>
      </c>
      <c r="K58" s="70">
        <v>387.88</v>
      </c>
      <c r="L58" s="106">
        <v>876.35</v>
      </c>
      <c r="M58" s="73"/>
    </row>
    <row r="59" spans="1:19" x14ac:dyDescent="0.35">
      <c r="A59" s="6"/>
      <c r="B59" s="68"/>
      <c r="C59" s="68"/>
      <c r="D59" s="68"/>
      <c r="E59" s="68" t="s">
        <v>55</v>
      </c>
      <c r="F59" s="68"/>
      <c r="G59" s="70">
        <v>84.55</v>
      </c>
      <c r="H59" s="71">
        <v>158.77000000000001</v>
      </c>
      <c r="I59" s="72">
        <v>23</v>
      </c>
      <c r="J59" s="70">
        <v>34.94</v>
      </c>
      <c r="K59" s="70">
        <v>82.94</v>
      </c>
      <c r="L59" s="106">
        <v>66</v>
      </c>
      <c r="M59" s="73"/>
    </row>
    <row r="60" spans="1:19" x14ac:dyDescent="0.35">
      <c r="A60" s="6"/>
      <c r="B60" s="68"/>
      <c r="C60" s="68"/>
      <c r="D60" s="68"/>
      <c r="E60" s="68" t="s">
        <v>116</v>
      </c>
      <c r="F60" s="68"/>
      <c r="G60" s="70">
        <v>103.51</v>
      </c>
      <c r="H60" s="71">
        <v>-5.98</v>
      </c>
      <c r="I60" s="72"/>
      <c r="J60" s="70">
        <v>-9.83</v>
      </c>
      <c r="K60" s="70">
        <v>172.45</v>
      </c>
      <c r="L60" s="106">
        <v>172.45</v>
      </c>
      <c r="M60" s="73"/>
    </row>
    <row r="61" spans="1:19" x14ac:dyDescent="0.35">
      <c r="A61" s="6"/>
      <c r="B61" s="68"/>
      <c r="C61" s="68"/>
      <c r="D61" s="68"/>
      <c r="E61" s="68" t="s">
        <v>57</v>
      </c>
      <c r="F61" s="68"/>
      <c r="G61" s="70">
        <v>-24.26</v>
      </c>
      <c r="H61" s="71">
        <v>183.9</v>
      </c>
      <c r="I61" s="72">
        <v>195</v>
      </c>
      <c r="J61" s="70">
        <v>21.3</v>
      </c>
      <c r="K61" s="70">
        <v>200</v>
      </c>
      <c r="L61" s="106">
        <v>200</v>
      </c>
      <c r="M61" s="73"/>
    </row>
    <row r="62" spans="1:19" x14ac:dyDescent="0.35">
      <c r="A62" s="6"/>
      <c r="B62" s="68"/>
      <c r="C62" s="68"/>
      <c r="D62" s="68"/>
      <c r="E62" s="68" t="s">
        <v>58</v>
      </c>
      <c r="F62" s="68"/>
      <c r="G62" s="70">
        <v>235</v>
      </c>
      <c r="H62" s="71">
        <v>0</v>
      </c>
      <c r="I62" s="72">
        <v>230</v>
      </c>
      <c r="J62" s="70">
        <v>0</v>
      </c>
      <c r="K62" s="70">
        <v>996</v>
      </c>
      <c r="L62" s="106">
        <v>2000</v>
      </c>
      <c r="M62" s="73"/>
    </row>
    <row r="63" spans="1:19" x14ac:dyDescent="0.35">
      <c r="A63" s="6"/>
      <c r="B63" s="68"/>
      <c r="C63" s="68"/>
      <c r="D63" s="68"/>
      <c r="E63" s="68" t="s">
        <v>117</v>
      </c>
      <c r="F63" s="68"/>
      <c r="G63" s="70">
        <v>22.82</v>
      </c>
      <c r="H63" s="71"/>
      <c r="I63" s="72"/>
      <c r="J63" s="70">
        <v>940</v>
      </c>
      <c r="L63" s="43"/>
      <c r="M63" s="73"/>
    </row>
    <row r="64" spans="1:19" x14ac:dyDescent="0.35">
      <c r="A64" s="6"/>
      <c r="B64" s="68"/>
      <c r="C64" s="68"/>
      <c r="D64" s="68"/>
      <c r="E64" s="68" t="s">
        <v>59</v>
      </c>
      <c r="F64" s="68"/>
      <c r="G64" s="70">
        <v>68.22</v>
      </c>
      <c r="H64" s="71">
        <v>66.8</v>
      </c>
      <c r="I64" s="72">
        <v>95</v>
      </c>
      <c r="J64" s="70">
        <v>77.319999999999993</v>
      </c>
      <c r="K64" s="70">
        <v>130.94</v>
      </c>
      <c r="L64" s="106">
        <v>130</v>
      </c>
      <c r="M64" s="73"/>
    </row>
    <row r="65" spans="1:15" x14ac:dyDescent="0.35">
      <c r="A65" s="6"/>
      <c r="B65" s="68"/>
      <c r="C65" s="68"/>
      <c r="D65" s="68"/>
      <c r="E65" s="68" t="s">
        <v>60</v>
      </c>
      <c r="F65" s="68"/>
      <c r="G65" s="70">
        <v>1460.62</v>
      </c>
      <c r="H65" s="71">
        <v>1113.3699999999999</v>
      </c>
      <c r="I65" s="72">
        <v>1593.32</v>
      </c>
      <c r="J65" s="70">
        <v>758.15</v>
      </c>
      <c r="K65" s="70">
        <v>2501.25</v>
      </c>
      <c r="L65" s="106">
        <v>2200</v>
      </c>
      <c r="M65" s="73"/>
    </row>
    <row r="66" spans="1:15" x14ac:dyDescent="0.35">
      <c r="A66" s="6"/>
      <c r="B66" s="68"/>
      <c r="C66" s="68"/>
      <c r="D66" s="68"/>
      <c r="E66" s="68" t="s">
        <v>118</v>
      </c>
      <c r="F66" s="68"/>
      <c r="G66" s="70">
        <v>41.69</v>
      </c>
      <c r="H66" s="71"/>
      <c r="I66" s="72"/>
      <c r="J66" s="70">
        <v>170.21</v>
      </c>
      <c r="K66" s="70">
        <v>410.61</v>
      </c>
      <c r="L66" s="106">
        <v>409.69</v>
      </c>
      <c r="M66" s="73"/>
    </row>
    <row r="67" spans="1:15" x14ac:dyDescent="0.35">
      <c r="A67" s="6"/>
      <c r="B67" s="68"/>
      <c r="C67" s="68"/>
      <c r="D67" s="68"/>
      <c r="E67" s="68" t="s">
        <v>119</v>
      </c>
      <c r="F67" s="68"/>
      <c r="G67" s="70"/>
      <c r="H67" s="71">
        <v>109.12</v>
      </c>
      <c r="I67" s="72"/>
      <c r="J67" s="70">
        <v>635.4</v>
      </c>
      <c r="K67" s="70"/>
      <c r="L67" s="106">
        <v>1000</v>
      </c>
      <c r="M67" s="73"/>
    </row>
    <row r="68" spans="1:15" x14ac:dyDescent="0.35">
      <c r="A68" s="6"/>
      <c r="B68" s="68"/>
      <c r="C68" s="68"/>
      <c r="D68" s="68"/>
      <c r="E68" s="68" t="s">
        <v>120</v>
      </c>
      <c r="F68" s="68"/>
      <c r="G68" s="70">
        <v>8</v>
      </c>
      <c r="H68" s="71"/>
      <c r="I68" s="72"/>
      <c r="J68" s="70"/>
      <c r="L68" s="43"/>
      <c r="M68" s="73"/>
    </row>
    <row r="69" spans="1:15" ht="15" thickBot="1" x14ac:dyDescent="0.4">
      <c r="A69" s="6"/>
      <c r="B69" s="68"/>
      <c r="C69" s="68"/>
      <c r="D69" s="68"/>
      <c r="E69" s="68" t="s">
        <v>61</v>
      </c>
      <c r="F69" s="68"/>
      <c r="G69" s="74">
        <v>152.83000000000001</v>
      </c>
      <c r="H69" s="75">
        <v>151.52000000000001</v>
      </c>
      <c r="I69" s="76">
        <v>328.14</v>
      </c>
      <c r="J69" s="74">
        <v>365</v>
      </c>
      <c r="K69" s="74"/>
      <c r="L69" s="107"/>
      <c r="M69" s="73"/>
    </row>
    <row r="70" spans="1:15" x14ac:dyDescent="0.35">
      <c r="A70" s="6"/>
      <c r="B70" s="68"/>
      <c r="C70" s="68"/>
      <c r="D70" s="68" t="s">
        <v>64</v>
      </c>
      <c r="E70" s="69"/>
      <c r="F70" s="69"/>
      <c r="G70" s="72">
        <f t="shared" ref="G70:I70" si="17">SUM(G57:G69)</f>
        <v>3227.4999999999995</v>
      </c>
      <c r="H70" s="72">
        <f t="shared" si="17"/>
        <v>2330.7399999999998</v>
      </c>
      <c r="I70" s="72">
        <f t="shared" si="17"/>
        <v>3235.4599999999996</v>
      </c>
      <c r="J70" s="72">
        <f t="shared" ref="J70" si="18">SUM(J57:J69)</f>
        <v>3861.49</v>
      </c>
      <c r="K70" s="70">
        <v>4890.46</v>
      </c>
      <c r="L70" s="106">
        <v>6554.49</v>
      </c>
      <c r="M70" s="73"/>
    </row>
    <row r="71" spans="1:15" x14ac:dyDescent="0.35">
      <c r="A71" s="6"/>
      <c r="B71" s="68"/>
      <c r="C71" s="68"/>
      <c r="D71" s="68" t="s">
        <v>65</v>
      </c>
      <c r="E71" s="68"/>
      <c r="F71" s="68"/>
      <c r="G71" s="70"/>
      <c r="H71" s="71"/>
      <c r="I71" s="72">
        <v>0</v>
      </c>
      <c r="J71" s="70"/>
      <c r="L71" s="106"/>
      <c r="M71" s="73"/>
    </row>
    <row r="72" spans="1:15" x14ac:dyDescent="0.35">
      <c r="A72" s="6"/>
      <c r="B72" s="68"/>
      <c r="C72" s="68"/>
      <c r="D72" s="68"/>
      <c r="E72" s="68" t="s">
        <v>66</v>
      </c>
      <c r="F72" s="68"/>
      <c r="G72" s="70"/>
      <c r="H72" s="71"/>
      <c r="I72" s="72">
        <v>0</v>
      </c>
      <c r="J72" s="70"/>
      <c r="L72" s="106"/>
      <c r="M72" s="73"/>
    </row>
    <row r="73" spans="1:15" x14ac:dyDescent="0.35">
      <c r="A73" s="6"/>
      <c r="B73" s="68"/>
      <c r="C73" s="68"/>
      <c r="D73" s="68"/>
      <c r="E73" s="68"/>
      <c r="F73" s="68" t="s">
        <v>67</v>
      </c>
      <c r="G73" s="70">
        <v>-4141</v>
      </c>
      <c r="H73" s="71">
        <v>-3756.77</v>
      </c>
      <c r="I73" s="72">
        <v>-4850</v>
      </c>
      <c r="J73" s="70">
        <v>-4127.43</v>
      </c>
      <c r="K73" s="70">
        <v>-5533.46</v>
      </c>
      <c r="L73" s="108">
        <f>+'2021 Budget'!U68</f>
        <v>-4528.25</v>
      </c>
      <c r="M73" s="73"/>
    </row>
    <row r="74" spans="1:15" x14ac:dyDescent="0.35">
      <c r="A74" s="6"/>
      <c r="B74" s="68"/>
      <c r="C74" s="68"/>
      <c r="D74" s="68"/>
      <c r="E74" s="68"/>
      <c r="F74" s="68" t="s">
        <v>68</v>
      </c>
      <c r="G74" s="70">
        <v>-2150</v>
      </c>
      <c r="H74" s="71"/>
      <c r="I74" s="72">
        <v>-2240.0100000000002</v>
      </c>
      <c r="J74" s="70">
        <v>-314.20999999999998</v>
      </c>
      <c r="K74" s="70">
        <v>-7395.38</v>
      </c>
      <c r="L74" s="109">
        <f>+'2021 Budget'!U69</f>
        <v>-10485.76</v>
      </c>
      <c r="M74" s="73"/>
    </row>
    <row r="75" spans="1:15" ht="15" thickBot="1" x14ac:dyDescent="0.4">
      <c r="A75" s="6"/>
      <c r="B75" s="68"/>
      <c r="C75" s="68"/>
      <c r="D75" s="68"/>
      <c r="E75" s="68"/>
      <c r="F75" s="68" t="s">
        <v>121</v>
      </c>
      <c r="G75" s="74">
        <v>-565</v>
      </c>
      <c r="H75" s="75">
        <v>-434.81</v>
      </c>
      <c r="I75" s="76"/>
      <c r="J75" s="76"/>
      <c r="K75" s="92"/>
      <c r="L75" s="107"/>
      <c r="M75" s="73"/>
    </row>
    <row r="76" spans="1:15" x14ac:dyDescent="0.35">
      <c r="A76" s="6"/>
      <c r="B76" s="68"/>
      <c r="C76" s="68"/>
      <c r="D76" s="68"/>
      <c r="E76" s="68" t="s">
        <v>69</v>
      </c>
      <c r="F76" s="68"/>
      <c r="G76" s="72">
        <f>+G74+G73+G75</f>
        <v>-6856</v>
      </c>
      <c r="H76" s="72">
        <f>+H74+H73+H75</f>
        <v>-4191.58</v>
      </c>
      <c r="I76" s="72">
        <f>+I74+I73</f>
        <v>-7090.01</v>
      </c>
      <c r="J76" s="72">
        <f>+J74+J73</f>
        <v>-4441.6400000000003</v>
      </c>
      <c r="K76" s="70">
        <v>-12928.84</v>
      </c>
      <c r="L76" s="109">
        <f>+L74+L73</f>
        <v>-15014.01</v>
      </c>
      <c r="M76" s="73"/>
    </row>
    <row r="77" spans="1:15" ht="15" thickBot="1" x14ac:dyDescent="0.4">
      <c r="A77" s="6"/>
      <c r="B77" s="68"/>
      <c r="C77" s="68"/>
      <c r="D77" s="68"/>
      <c r="E77" s="68" t="s">
        <v>70</v>
      </c>
      <c r="F77" s="68"/>
      <c r="G77" s="76">
        <v>-4.5</v>
      </c>
      <c r="H77" s="75">
        <v>-4.49</v>
      </c>
      <c r="I77" s="76">
        <v>-3.38</v>
      </c>
      <c r="J77" s="78">
        <v>-4.49</v>
      </c>
      <c r="K77" s="74">
        <v>-1.88</v>
      </c>
      <c r="L77" s="110">
        <v>-4.1399999999999997</v>
      </c>
      <c r="M77" s="73"/>
    </row>
    <row r="78" spans="1:15" ht="15" thickBot="1" x14ac:dyDescent="0.4">
      <c r="A78" s="6"/>
      <c r="B78" s="68"/>
      <c r="C78" s="68"/>
      <c r="D78" s="68" t="s">
        <v>71</v>
      </c>
      <c r="E78" s="69"/>
      <c r="F78" s="69"/>
      <c r="G78" s="79">
        <f t="shared" ref="G78:I78" si="19">+G77+G76</f>
        <v>-6860.5</v>
      </c>
      <c r="H78" s="79">
        <f t="shared" si="19"/>
        <v>-4196.07</v>
      </c>
      <c r="I78" s="79">
        <f t="shared" si="19"/>
        <v>-7093.39</v>
      </c>
      <c r="J78" s="79">
        <f t="shared" ref="J78" si="20">+J77+J76</f>
        <v>-4446.13</v>
      </c>
      <c r="K78" s="76">
        <v>-12933.35</v>
      </c>
      <c r="L78" s="111">
        <f>+L77+L76</f>
        <v>-15018.15</v>
      </c>
      <c r="M78" s="73"/>
    </row>
    <row r="79" spans="1:15" ht="15" thickBot="1" x14ac:dyDescent="0.4">
      <c r="A79" s="6"/>
      <c r="B79" s="68"/>
      <c r="C79" s="68" t="s">
        <v>72</v>
      </c>
      <c r="D79" s="68"/>
      <c r="E79" s="68"/>
      <c r="F79" s="68"/>
      <c r="G79" s="79">
        <f>+G78+G56+G55+G46+G45+G44+G41+G70+G36+G35+G34+G33+G47</f>
        <v>222187.23000000004</v>
      </c>
      <c r="H79" s="79">
        <f>+H78+H56+H55+H46+H45+H44+H41+H70+H36+H35+H34+H33+H47</f>
        <v>224339.35</v>
      </c>
      <c r="I79" s="79">
        <f t="shared" ref="I79" si="21">+I78+I56+I55+I46+I45+I44+I41+I70+I36+I35+I34+I33</f>
        <v>218101.52000000002</v>
      </c>
      <c r="J79" s="79">
        <f>+J33+J34+J35+J36+J41+J44+J45+J46+J47+J55+J56+J70+J78</f>
        <v>238169.14999999997</v>
      </c>
      <c r="K79" s="79">
        <v>194353.98879999999</v>
      </c>
      <c r="L79" s="112">
        <f>+L33+L34+L35+L36+L41+L44+L45+L46+L47+L55+L56+L70+L78</f>
        <v>180782.06089000002</v>
      </c>
      <c r="M79" s="73"/>
      <c r="O79" s="80"/>
    </row>
    <row r="80" spans="1:15" ht="15" thickBot="1" x14ac:dyDescent="0.4">
      <c r="A80" s="6"/>
      <c r="B80" s="77"/>
      <c r="C80" s="68" t="s">
        <v>122</v>
      </c>
      <c r="D80" s="68"/>
      <c r="E80" s="68"/>
      <c r="F80" s="68"/>
      <c r="G80" s="79">
        <f t="shared" ref="G80:I80" si="22">+G79</f>
        <v>222187.23000000004</v>
      </c>
      <c r="H80" s="79">
        <f t="shared" si="22"/>
        <v>224339.35</v>
      </c>
      <c r="I80" s="79">
        <f t="shared" si="22"/>
        <v>218101.52000000002</v>
      </c>
      <c r="J80" s="79">
        <f t="shared" ref="J80" si="23">+J79</f>
        <v>238169.14999999997</v>
      </c>
      <c r="K80" s="78">
        <v>194355.60073999999</v>
      </c>
      <c r="L80" s="110">
        <f>+L79</f>
        <v>180782.06089000002</v>
      </c>
      <c r="M80" s="73"/>
    </row>
    <row r="81" spans="1:13" ht="15" thickBot="1" x14ac:dyDescent="0.4">
      <c r="B81" s="68"/>
      <c r="C81" s="68" t="s">
        <v>73</v>
      </c>
      <c r="D81" s="68"/>
      <c r="E81" s="68"/>
      <c r="F81" s="68"/>
      <c r="G81" s="76">
        <f t="shared" ref="G81:H81" si="24">+G21-G80</f>
        <v>1840.6399999999849</v>
      </c>
      <c r="H81" s="76">
        <f t="shared" si="24"/>
        <v>-18081.810000000027</v>
      </c>
      <c r="I81" s="72">
        <f>+I21-I80</f>
        <v>-2440.7882900000259</v>
      </c>
      <c r="J81" s="76">
        <f t="shared" ref="J81:L81" si="25">+J21-J80</f>
        <v>-12308.149999999965</v>
      </c>
      <c r="K81" s="79">
        <v>-6833.3007399999997</v>
      </c>
      <c r="L81" s="113">
        <f t="shared" si="25"/>
        <v>-762.68089000001783</v>
      </c>
      <c r="M81" s="73"/>
    </row>
    <row r="82" spans="1:13" ht="15" thickBot="1" x14ac:dyDescent="0.4">
      <c r="A82" s="6"/>
      <c r="B82" s="68"/>
      <c r="C82" s="68"/>
      <c r="D82" s="68"/>
      <c r="E82" s="68"/>
      <c r="F82" s="68"/>
      <c r="G82" s="81">
        <f t="shared" ref="G82:H82" si="26">+G81</f>
        <v>1840.6399999999849</v>
      </c>
      <c r="H82" s="81">
        <f t="shared" si="26"/>
        <v>-18081.810000000027</v>
      </c>
      <c r="I82" s="81">
        <f>+I81</f>
        <v>-2440.7882900000259</v>
      </c>
      <c r="J82" s="81">
        <f t="shared" ref="J82:L82" si="27">+J81</f>
        <v>-12308.149999999965</v>
      </c>
      <c r="K82" s="81">
        <v>-6833.3007399999997</v>
      </c>
      <c r="L82" s="81">
        <f t="shared" si="27"/>
        <v>-762.68089000001783</v>
      </c>
      <c r="M82" s="73"/>
    </row>
    <row r="83" spans="1:13" ht="15" thickTop="1" x14ac:dyDescent="0.35">
      <c r="A83" s="6"/>
      <c r="B83" s="68"/>
      <c r="C83" s="68"/>
      <c r="D83" s="68"/>
      <c r="E83" s="68"/>
      <c r="F83" s="68"/>
      <c r="G83" s="70"/>
      <c r="H83" s="72"/>
      <c r="I83" s="77"/>
      <c r="J83" s="77"/>
      <c r="K83" s="78"/>
      <c r="L83" s="93"/>
      <c r="M83" s="73"/>
    </row>
    <row r="84" spans="1:13" x14ac:dyDescent="0.35">
      <c r="B84" s="77"/>
      <c r="C84" s="77"/>
      <c r="D84" s="77"/>
      <c r="E84" s="77"/>
      <c r="F84" s="77"/>
      <c r="G84" s="70"/>
      <c r="H84" s="82"/>
      <c r="I84" s="77"/>
      <c r="J84" s="77"/>
      <c r="K84" s="78"/>
      <c r="L84" s="78"/>
      <c r="M84" s="73"/>
    </row>
    <row r="85" spans="1:13" x14ac:dyDescent="0.35">
      <c r="B85" s="77"/>
      <c r="C85" s="77"/>
      <c r="D85" s="77"/>
      <c r="E85" s="77"/>
      <c r="F85" s="77"/>
      <c r="G85" s="70"/>
      <c r="H85" s="77"/>
      <c r="I85" s="82"/>
      <c r="J85" s="77"/>
      <c r="K85" s="93"/>
      <c r="L85" s="78"/>
    </row>
    <row r="86" spans="1:13" x14ac:dyDescent="0.35">
      <c r="L86" s="78"/>
    </row>
    <row r="87" spans="1:13" x14ac:dyDescent="0.35">
      <c r="L87" s="93"/>
    </row>
    <row r="88" spans="1:13" x14ac:dyDescent="0.35">
      <c r="L88" s="94"/>
    </row>
  </sheetData>
  <mergeCells count="1">
    <mergeCell ref="B2:J2"/>
  </mergeCells>
  <pageMargins left="0.7" right="0.7" top="0.75" bottom="0.75" header="0.3" footer="0.3"/>
  <pageSetup orientation="portrait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Q41"/>
  <sheetViews>
    <sheetView topLeftCell="C15" workbookViewId="0">
      <selection activeCell="C23" sqref="C23:P31"/>
    </sheetView>
  </sheetViews>
  <sheetFormatPr defaultRowHeight="14.5" x14ac:dyDescent="0.35"/>
  <cols>
    <col min="3" max="3" width="18.1796875" bestFit="1" customWidth="1"/>
    <col min="4" max="14" width="11.08984375" bestFit="1" customWidth="1"/>
    <col min="15" max="15" width="9.54296875" bestFit="1" customWidth="1"/>
    <col min="16" max="17" width="11.08984375" bestFit="1" customWidth="1"/>
  </cols>
  <sheetData>
    <row r="1" spans="3:16" x14ac:dyDescent="0.35">
      <c r="C1" t="s">
        <v>98</v>
      </c>
    </row>
    <row r="2" spans="3:16" ht="15" thickBot="1" x14ac:dyDescent="0.4">
      <c r="D2" s="40" t="s">
        <v>79</v>
      </c>
      <c r="E2" s="40" t="s">
        <v>80</v>
      </c>
      <c r="F2" s="40" t="s">
        <v>81</v>
      </c>
      <c r="G2" s="40" t="s">
        <v>82</v>
      </c>
      <c r="H2" s="41" t="s">
        <v>83</v>
      </c>
      <c r="I2" s="41" t="s">
        <v>84</v>
      </c>
      <c r="J2" s="41" t="s">
        <v>85</v>
      </c>
      <c r="K2" s="41" t="s">
        <v>86</v>
      </c>
      <c r="L2" s="41" t="s">
        <v>87</v>
      </c>
      <c r="M2" s="41" t="s">
        <v>88</v>
      </c>
      <c r="N2" s="41" t="s">
        <v>89</v>
      </c>
      <c r="O2" s="41" t="s">
        <v>90</v>
      </c>
      <c r="P2" s="40" t="s">
        <v>1</v>
      </c>
    </row>
    <row r="3" spans="3:16" ht="15" thickTop="1" x14ac:dyDescent="0.35">
      <c r="C3" s="25" t="s">
        <v>94</v>
      </c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</row>
    <row r="4" spans="3:16" x14ac:dyDescent="0.35">
      <c r="C4" s="27" t="s">
        <v>74</v>
      </c>
      <c r="D4" s="34">
        <v>52355</v>
      </c>
      <c r="E4" s="34">
        <f t="shared" ref="E4:O4" si="0">+D5</f>
        <v>48248.679360000002</v>
      </c>
      <c r="F4" s="34">
        <f t="shared" si="0"/>
        <v>46105.46719000001</v>
      </c>
      <c r="G4" s="34">
        <f t="shared" si="0"/>
        <v>48509.21130000001</v>
      </c>
      <c r="H4" s="34">
        <f t="shared" si="0"/>
        <v>56882.589060000006</v>
      </c>
      <c r="I4" s="34">
        <f t="shared" si="0"/>
        <v>50952.939439999995</v>
      </c>
      <c r="J4" s="34">
        <f t="shared" si="0"/>
        <v>42177.688799999989</v>
      </c>
      <c r="K4" s="34">
        <f t="shared" si="0"/>
        <v>37035.537429999989</v>
      </c>
      <c r="L4" s="34">
        <f t="shared" si="0"/>
        <v>71103.690499999997</v>
      </c>
      <c r="M4" s="34">
        <f t="shared" si="0"/>
        <v>73804.738320000004</v>
      </c>
      <c r="N4" s="34">
        <f t="shared" si="0"/>
        <v>43310.94311</v>
      </c>
      <c r="O4" s="34">
        <f t="shared" si="0"/>
        <v>36819.321109999997</v>
      </c>
      <c r="P4" s="34"/>
    </row>
    <row r="5" spans="3:16" x14ac:dyDescent="0.35">
      <c r="C5" s="27" t="s">
        <v>75</v>
      </c>
      <c r="D5" s="34">
        <f t="shared" ref="D5:O5" si="1">+D4+D8-D7-D9-D10</f>
        <v>48248.679360000002</v>
      </c>
      <c r="E5" s="34">
        <f t="shared" si="1"/>
        <v>46105.46719000001</v>
      </c>
      <c r="F5" s="34">
        <f t="shared" si="1"/>
        <v>48509.21130000001</v>
      </c>
      <c r="G5" s="34">
        <f>+G4+G8-G7-G9-G10+G11</f>
        <v>56882.589060000006</v>
      </c>
      <c r="H5" s="34">
        <f>+H4+H8-H7-H9-H10</f>
        <v>50952.939439999995</v>
      </c>
      <c r="I5" s="35">
        <f t="shared" si="1"/>
        <v>42177.688799999989</v>
      </c>
      <c r="J5" s="35">
        <f t="shared" si="1"/>
        <v>37035.537429999989</v>
      </c>
      <c r="K5" s="34">
        <f t="shared" si="1"/>
        <v>71103.690499999997</v>
      </c>
      <c r="L5" s="34">
        <f t="shared" si="1"/>
        <v>73804.738320000004</v>
      </c>
      <c r="M5" s="34">
        <f t="shared" si="1"/>
        <v>43310.94311</v>
      </c>
      <c r="N5" s="34">
        <f t="shared" si="1"/>
        <v>36819.321109999997</v>
      </c>
      <c r="O5" s="35">
        <f t="shared" si="1"/>
        <v>26568.799109999996</v>
      </c>
      <c r="P5" s="34"/>
    </row>
    <row r="6" spans="3:16" x14ac:dyDescent="0.35">
      <c r="C6" s="27" t="s">
        <v>76</v>
      </c>
      <c r="D6" s="34">
        <v>10000</v>
      </c>
      <c r="E6" s="34">
        <v>11968.26</v>
      </c>
      <c r="F6" s="34">
        <v>11917.83</v>
      </c>
      <c r="G6" s="34">
        <v>8084.13</v>
      </c>
      <c r="H6" s="34">
        <v>10278.370000000001</v>
      </c>
      <c r="I6" s="34">
        <v>33244.839999999997</v>
      </c>
      <c r="J6" s="34">
        <v>25572.86</v>
      </c>
      <c r="K6" s="34">
        <v>59768.02</v>
      </c>
      <c r="L6" s="34">
        <v>12080.42</v>
      </c>
      <c r="M6" s="34">
        <v>6624.17</v>
      </c>
      <c r="N6" s="34">
        <v>9118.2000000000007</v>
      </c>
      <c r="O6" s="34">
        <v>4499.01</v>
      </c>
      <c r="P6" s="34">
        <f>SUM(D6:O6)</f>
        <v>203156.11000000004</v>
      </c>
    </row>
    <row r="7" spans="3:16" x14ac:dyDescent="0.35">
      <c r="C7" s="27" t="s">
        <v>77</v>
      </c>
      <c r="D7" s="35">
        <v>6000</v>
      </c>
      <c r="E7" s="35">
        <v>10000</v>
      </c>
      <c r="F7" s="35">
        <v>6000</v>
      </c>
      <c r="G7" s="35">
        <v>14000</v>
      </c>
      <c r="H7" s="35">
        <v>10000</v>
      </c>
      <c r="I7" s="35">
        <v>9000</v>
      </c>
      <c r="J7" s="35">
        <v>10000</v>
      </c>
      <c r="K7" s="35">
        <v>6000</v>
      </c>
      <c r="L7" s="35">
        <v>72000</v>
      </c>
      <c r="M7" s="35">
        <v>25000</v>
      </c>
      <c r="N7" s="35">
        <v>7000</v>
      </c>
      <c r="O7" s="35">
        <v>9000</v>
      </c>
      <c r="P7" s="35">
        <f>SUM(D7:O7)</f>
        <v>184000</v>
      </c>
    </row>
    <row r="8" spans="3:16" x14ac:dyDescent="0.35">
      <c r="C8" s="27" t="s">
        <v>91</v>
      </c>
      <c r="D8" s="36">
        <f>+'2021 Budget'!I11</f>
        <v>18000</v>
      </c>
      <c r="E8" s="36">
        <f>+'2021 Budget'!J11</f>
        <v>24000</v>
      </c>
      <c r="F8" s="36">
        <f>+'2021 Budget'!K11</f>
        <v>16500</v>
      </c>
      <c r="G8" s="36">
        <f>+'2021 Budget'!L11</f>
        <v>18000</v>
      </c>
      <c r="H8" s="36">
        <f>+'2021 Budget'!M11</f>
        <v>18000</v>
      </c>
      <c r="I8" s="36">
        <f>+'2021 Budget'!N11</f>
        <v>15900</v>
      </c>
      <c r="J8" s="36">
        <f>+'2021 Budget'!O11</f>
        <v>24000</v>
      </c>
      <c r="K8" s="36">
        <f>+'2021 Budget'!P11</f>
        <v>60000</v>
      </c>
      <c r="L8" s="36">
        <f>+'2021 Budget'!Q11</f>
        <v>96800</v>
      </c>
      <c r="M8" s="36">
        <f>+'2021 Budget'!R11</f>
        <v>12000</v>
      </c>
      <c r="N8" s="36">
        <f>+'2021 Budget'!S11</f>
        <v>16800</v>
      </c>
      <c r="O8" s="36">
        <f>+'2021 Budget'!T11</f>
        <v>15000</v>
      </c>
      <c r="P8" s="34">
        <f>SUM(D8:O8)</f>
        <v>335000</v>
      </c>
    </row>
    <row r="9" spans="3:16" x14ac:dyDescent="0.35">
      <c r="C9" s="27" t="s">
        <v>92</v>
      </c>
      <c r="D9" s="36">
        <v>15606.32064</v>
      </c>
      <c r="E9" s="36">
        <v>15643.212169999999</v>
      </c>
      <c r="F9" s="36">
        <v>7596.2558900000004</v>
      </c>
      <c r="G9" s="36">
        <v>15126.622240000002</v>
      </c>
      <c r="H9" s="36">
        <v>13429.649620000002</v>
      </c>
      <c r="I9" s="36">
        <v>15175.250639999998</v>
      </c>
      <c r="J9" s="36">
        <v>18642.15137</v>
      </c>
      <c r="K9" s="36">
        <v>19431.84693</v>
      </c>
      <c r="L9" s="36">
        <v>19098.952179999997</v>
      </c>
      <c r="M9" s="36">
        <v>14493.795210000002</v>
      </c>
      <c r="N9" s="36">
        <v>13291.622000000001</v>
      </c>
      <c r="O9" s="36">
        <v>13250.522000000001</v>
      </c>
      <c r="P9" s="34">
        <v>180786.20089000001</v>
      </c>
    </row>
    <row r="10" spans="3:16" x14ac:dyDescent="0.35">
      <c r="C10" s="27" t="s">
        <v>78</v>
      </c>
      <c r="D10" s="37">
        <v>500</v>
      </c>
      <c r="E10" s="37">
        <v>500</v>
      </c>
      <c r="F10" s="37">
        <v>500</v>
      </c>
      <c r="G10" s="37">
        <v>500</v>
      </c>
      <c r="H10" s="37">
        <v>500</v>
      </c>
      <c r="I10" s="37">
        <v>500</v>
      </c>
      <c r="J10" s="37">
        <v>500</v>
      </c>
      <c r="K10" s="37">
        <v>500</v>
      </c>
      <c r="L10" s="37">
        <v>3000</v>
      </c>
      <c r="M10" s="37">
        <v>3000</v>
      </c>
      <c r="N10" s="37">
        <v>3000</v>
      </c>
      <c r="O10" s="37">
        <v>3000</v>
      </c>
      <c r="P10" s="34">
        <f>SUM(D10:O10)</f>
        <v>16000</v>
      </c>
    </row>
    <row r="11" spans="3:16" x14ac:dyDescent="0.35">
      <c r="C11" s="27" t="s">
        <v>126</v>
      </c>
      <c r="D11" s="37"/>
      <c r="E11" s="37"/>
      <c r="F11" s="37"/>
      <c r="G11" s="114">
        <v>20000</v>
      </c>
      <c r="H11" s="37"/>
      <c r="I11" s="37"/>
      <c r="J11" s="37"/>
      <c r="K11" s="37"/>
      <c r="L11" s="37"/>
      <c r="M11" s="37"/>
      <c r="N11" s="37"/>
      <c r="O11" s="37"/>
      <c r="P11" s="37"/>
    </row>
    <row r="12" spans="3:16" x14ac:dyDescent="0.35">
      <c r="C12" s="2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</row>
    <row r="13" spans="3:16" x14ac:dyDescent="0.35">
      <c r="C13" s="27"/>
      <c r="D13" s="37"/>
      <c r="E13" s="37"/>
      <c r="F13" s="37"/>
      <c r="G13" s="37"/>
      <c r="H13" s="37"/>
      <c r="I13" s="37"/>
      <c r="J13" s="37"/>
      <c r="K13" s="37"/>
      <c r="L13" s="38"/>
      <c r="M13" s="37"/>
      <c r="N13" s="37"/>
      <c r="O13" s="37"/>
      <c r="P13" s="37"/>
    </row>
    <row r="14" spans="3:16" x14ac:dyDescent="0.35">
      <c r="C14" s="27" t="s">
        <v>75</v>
      </c>
      <c r="D14" s="38"/>
      <c r="E14" s="37"/>
      <c r="F14" s="37"/>
      <c r="G14" s="37"/>
      <c r="H14" s="37"/>
      <c r="I14" s="37"/>
      <c r="J14" s="37"/>
      <c r="K14" s="37"/>
      <c r="L14" s="38"/>
      <c r="M14" s="37"/>
      <c r="N14" s="37"/>
      <c r="O14" s="37"/>
      <c r="P14" s="37"/>
    </row>
    <row r="15" spans="3:16" x14ac:dyDescent="0.35">
      <c r="C15" s="27">
        <v>2016</v>
      </c>
      <c r="D15" s="34">
        <v>66344.929999999993</v>
      </c>
      <c r="E15" s="34">
        <v>72641.72</v>
      </c>
      <c r="F15" s="34">
        <v>80656.570000000007</v>
      </c>
      <c r="G15" s="34">
        <v>73153.19</v>
      </c>
      <c r="H15" s="34">
        <v>59673.87</v>
      </c>
      <c r="I15" s="34">
        <v>60765.21</v>
      </c>
      <c r="J15" s="34">
        <v>65197.31</v>
      </c>
      <c r="K15" s="34">
        <v>90802</v>
      </c>
      <c r="L15" s="34">
        <v>126515.31</v>
      </c>
      <c r="M15" s="34">
        <v>110045.24</v>
      </c>
      <c r="N15" s="34">
        <v>102653.54</v>
      </c>
      <c r="O15" s="34">
        <v>91258.4</v>
      </c>
      <c r="P15" s="37"/>
    </row>
    <row r="16" spans="3:16" x14ac:dyDescent="0.35">
      <c r="C16" s="27">
        <v>2017</v>
      </c>
      <c r="D16" s="34">
        <v>90836.97</v>
      </c>
      <c r="E16" s="34">
        <v>90527.23</v>
      </c>
      <c r="F16" s="34">
        <v>77513.73</v>
      </c>
      <c r="G16" s="34">
        <v>72047.66</v>
      </c>
      <c r="H16" s="34">
        <v>68604.92</v>
      </c>
      <c r="I16" s="34">
        <v>54117.29</v>
      </c>
      <c r="J16" s="34">
        <v>58642.91</v>
      </c>
      <c r="K16" s="34">
        <v>80054.09</v>
      </c>
      <c r="L16" s="34">
        <v>128253.09</v>
      </c>
      <c r="M16" s="34">
        <v>96544.639999999999</v>
      </c>
      <c r="N16" s="34">
        <v>85933.4</v>
      </c>
      <c r="O16" s="34">
        <v>76949.08</v>
      </c>
      <c r="P16" s="37"/>
    </row>
    <row r="17" spans="3:16" x14ac:dyDescent="0.35">
      <c r="C17" s="27">
        <v>2018</v>
      </c>
      <c r="D17" s="34">
        <v>75529.259999999995</v>
      </c>
      <c r="E17" s="34">
        <v>70256.240000000005</v>
      </c>
      <c r="F17" s="34">
        <v>73702.55</v>
      </c>
      <c r="G17" s="34">
        <v>66417.83</v>
      </c>
      <c r="H17" s="34">
        <v>54453.89</v>
      </c>
      <c r="I17" s="34">
        <v>49987.09</v>
      </c>
      <c r="J17" s="34">
        <v>46755.8</v>
      </c>
      <c r="K17" s="34">
        <v>79668.960000000006</v>
      </c>
      <c r="L17" s="34">
        <v>125488.59</v>
      </c>
      <c r="M17" s="34">
        <v>84052.19</v>
      </c>
      <c r="N17" s="34">
        <v>79119.600000000006</v>
      </c>
      <c r="O17" s="34">
        <v>71169.84</v>
      </c>
      <c r="P17" s="37"/>
    </row>
    <row r="18" spans="3:16" x14ac:dyDescent="0.35">
      <c r="C18" s="27">
        <v>2019</v>
      </c>
      <c r="D18" s="34">
        <v>64373.51</v>
      </c>
      <c r="E18" s="34">
        <v>63777.05</v>
      </c>
      <c r="F18" s="34">
        <v>58352.42</v>
      </c>
      <c r="G18" s="34">
        <v>43056.41</v>
      </c>
      <c r="H18" s="34">
        <v>65190.84</v>
      </c>
      <c r="I18" s="34">
        <v>60699.85</v>
      </c>
      <c r="J18" s="34">
        <v>78087.06</v>
      </c>
      <c r="K18" s="34">
        <v>130811.28</v>
      </c>
      <c r="L18" s="34">
        <v>156002</v>
      </c>
      <c r="M18" s="34">
        <v>89453.82</v>
      </c>
      <c r="N18" s="34">
        <v>83874.62</v>
      </c>
      <c r="O18" s="34">
        <v>70239.05</v>
      </c>
      <c r="P18" s="37"/>
    </row>
    <row r="19" spans="3:16" x14ac:dyDescent="0.35">
      <c r="C19" s="31">
        <v>2020</v>
      </c>
      <c r="D19" s="32">
        <v>67389.02</v>
      </c>
      <c r="E19" s="32">
        <v>53034.81</v>
      </c>
      <c r="F19" s="32">
        <v>50441.58</v>
      </c>
      <c r="G19" s="32">
        <v>54477.18</v>
      </c>
      <c r="H19" s="32">
        <v>55877.81</v>
      </c>
      <c r="I19" s="32">
        <v>45815.89</v>
      </c>
      <c r="J19" s="32">
        <v>42623.817829999993</v>
      </c>
      <c r="K19" s="32">
        <v>87752.284530000004</v>
      </c>
      <c r="L19" s="32">
        <v>70924.903530000011</v>
      </c>
      <c r="M19" s="32">
        <f>+M26</f>
        <v>-43271.150960000006</v>
      </c>
      <c r="N19" s="32">
        <f>+N26</f>
        <v>-55951.883070000011</v>
      </c>
      <c r="O19" s="32">
        <f>+O26</f>
        <v>-64775.55518000001</v>
      </c>
      <c r="P19" s="37"/>
    </row>
    <row r="20" spans="3:16" x14ac:dyDescent="0.35">
      <c r="C20" s="27">
        <v>2021</v>
      </c>
      <c r="D20" s="38">
        <f t="shared" ref="D20:O20" si="2">+D5</f>
        <v>48248.679360000002</v>
      </c>
      <c r="E20" s="38">
        <f t="shared" si="2"/>
        <v>46105.46719000001</v>
      </c>
      <c r="F20" s="38">
        <f t="shared" si="2"/>
        <v>48509.21130000001</v>
      </c>
      <c r="G20" s="38">
        <f t="shared" si="2"/>
        <v>56882.589060000006</v>
      </c>
      <c r="H20" s="38">
        <f t="shared" si="2"/>
        <v>50952.939439999995</v>
      </c>
      <c r="I20" s="39">
        <f t="shared" si="2"/>
        <v>42177.688799999989</v>
      </c>
      <c r="J20" s="39">
        <f t="shared" si="2"/>
        <v>37035.537429999989</v>
      </c>
      <c r="K20" s="38">
        <f t="shared" si="2"/>
        <v>71103.690499999997</v>
      </c>
      <c r="L20" s="38">
        <f t="shared" si="2"/>
        <v>73804.738320000004</v>
      </c>
      <c r="M20" s="38">
        <f t="shared" si="2"/>
        <v>43310.94311</v>
      </c>
      <c r="N20" s="38">
        <f t="shared" si="2"/>
        <v>36819.321109999997</v>
      </c>
      <c r="O20" s="39">
        <f t="shared" si="2"/>
        <v>26568.799109999996</v>
      </c>
      <c r="P20" s="37"/>
    </row>
    <row r="21" spans="3:16" x14ac:dyDescent="0.35">
      <c r="C21" s="21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</row>
    <row r="23" spans="3:16" ht="15" thickBot="1" x14ac:dyDescent="0.4">
      <c r="C23" s="43">
        <v>2020</v>
      </c>
      <c r="D23" s="40" t="s">
        <v>79</v>
      </c>
      <c r="E23" s="40" t="s">
        <v>80</v>
      </c>
      <c r="F23" s="40" t="s">
        <v>81</v>
      </c>
      <c r="G23" s="40" t="s">
        <v>82</v>
      </c>
      <c r="H23" s="41" t="s">
        <v>83</v>
      </c>
      <c r="I23" s="41" t="s">
        <v>84</v>
      </c>
      <c r="J23" s="41" t="s">
        <v>85</v>
      </c>
      <c r="K23" s="41" t="s">
        <v>86</v>
      </c>
      <c r="L23" s="41" t="s">
        <v>87</v>
      </c>
      <c r="M23" s="41" t="s">
        <v>88</v>
      </c>
      <c r="N23" s="41" t="s">
        <v>89</v>
      </c>
      <c r="O23" s="41" t="s">
        <v>90</v>
      </c>
    </row>
    <row r="24" spans="3:16" ht="15" thickTop="1" x14ac:dyDescent="0.35">
      <c r="C24" s="43" t="s">
        <v>95</v>
      </c>
    </row>
    <row r="25" spans="3:16" x14ac:dyDescent="0.35">
      <c r="C25" s="43" t="s">
        <v>74</v>
      </c>
      <c r="D25" s="44">
        <v>67389.02</v>
      </c>
      <c r="E25" s="44">
        <f>+D26</f>
        <v>53235.19000000001</v>
      </c>
      <c r="F25" s="44">
        <f>+E26</f>
        <v>38634.650000000009</v>
      </c>
      <c r="G25" s="44">
        <f t="shared" ref="G25:O25" si="3">+F26</f>
        <v>49082.66</v>
      </c>
      <c r="H25" s="44">
        <f t="shared" si="3"/>
        <v>37028.190650000004</v>
      </c>
      <c r="I25" s="44">
        <f t="shared" si="3"/>
        <v>24292.680920000006</v>
      </c>
      <c r="J25" s="44">
        <f t="shared" si="3"/>
        <v>7901.3101700000061</v>
      </c>
      <c r="K25" s="44">
        <f t="shared" si="3"/>
        <v>-1348.3813099999952</v>
      </c>
      <c r="L25" s="44">
        <f t="shared" si="3"/>
        <v>1138.131650000003</v>
      </c>
      <c r="M25" s="44">
        <f t="shared" si="3"/>
        <v>-31804.865640000004</v>
      </c>
      <c r="N25" s="44">
        <f t="shared" si="3"/>
        <v>-43271.150960000006</v>
      </c>
      <c r="O25" s="44">
        <f t="shared" si="3"/>
        <v>-55951.883070000011</v>
      </c>
      <c r="P25" s="44"/>
    </row>
    <row r="26" spans="3:16" x14ac:dyDescent="0.35">
      <c r="C26" s="43" t="s">
        <v>75</v>
      </c>
      <c r="D26" s="44">
        <f>+D25-D28+D30-D31-D29</f>
        <v>53235.19000000001</v>
      </c>
      <c r="E26" s="44">
        <f t="shared" ref="E26:O26" si="4">+E25-E28+E30-E31-E29</f>
        <v>38634.650000000009</v>
      </c>
      <c r="F26" s="44">
        <v>49082.66</v>
      </c>
      <c r="G26" s="44">
        <f t="shared" si="4"/>
        <v>37028.190650000004</v>
      </c>
      <c r="H26" s="44">
        <f t="shared" si="4"/>
        <v>24292.680920000006</v>
      </c>
      <c r="I26" s="44">
        <f t="shared" si="4"/>
        <v>7901.3101700000061</v>
      </c>
      <c r="J26" s="44">
        <f t="shared" si="4"/>
        <v>-1348.3813099999952</v>
      </c>
      <c r="K26" s="44">
        <f t="shared" si="4"/>
        <v>1138.131650000003</v>
      </c>
      <c r="L26" s="44">
        <f t="shared" si="4"/>
        <v>-31804.865640000004</v>
      </c>
      <c r="M26" s="44">
        <f t="shared" si="4"/>
        <v>-43271.150960000006</v>
      </c>
      <c r="N26" s="44">
        <f t="shared" si="4"/>
        <v>-55951.883070000011</v>
      </c>
      <c r="O26" s="44">
        <f t="shared" si="4"/>
        <v>-64775.55518000001</v>
      </c>
      <c r="P26" s="44"/>
    </row>
    <row r="27" spans="3:16" x14ac:dyDescent="0.35">
      <c r="C27" s="43" t="s">
        <v>76</v>
      </c>
      <c r="D27" s="44"/>
      <c r="E27" s="44"/>
      <c r="F27" s="44">
        <v>761</v>
      </c>
      <c r="G27" s="44">
        <v>3773.2649999999994</v>
      </c>
      <c r="H27" s="44">
        <v>5534.7349999999969</v>
      </c>
      <c r="I27" s="44">
        <v>24026.040000000008</v>
      </c>
      <c r="J27" s="44">
        <v>37333.54</v>
      </c>
      <c r="K27" s="44">
        <v>9512.7499999999927</v>
      </c>
      <c r="L27" s="44">
        <v>8748.744999999999</v>
      </c>
      <c r="M27" s="44">
        <v>3215.683999999997</v>
      </c>
      <c r="N27" s="44">
        <v>3000</v>
      </c>
      <c r="O27" s="44">
        <v>3000</v>
      </c>
      <c r="P27" s="44"/>
    </row>
    <row r="28" spans="3:16" x14ac:dyDescent="0.35">
      <c r="C28" s="43" t="s">
        <v>77</v>
      </c>
      <c r="D28" s="44">
        <v>6292</v>
      </c>
      <c r="E28" s="44">
        <v>7548</v>
      </c>
      <c r="F28" s="44">
        <v>3575</v>
      </c>
      <c r="G28" s="44">
        <v>12622</v>
      </c>
      <c r="H28" s="44">
        <v>6932</v>
      </c>
      <c r="I28" s="44">
        <v>9241</v>
      </c>
      <c r="J28" s="44">
        <v>5210</v>
      </c>
      <c r="K28" s="44">
        <v>6005</v>
      </c>
      <c r="L28" s="44">
        <v>73235</v>
      </c>
      <c r="M28" s="44">
        <v>5053</v>
      </c>
      <c r="N28" s="44">
        <v>10000</v>
      </c>
      <c r="O28" s="44">
        <v>5000</v>
      </c>
      <c r="P28" s="44">
        <v>150713</v>
      </c>
    </row>
    <row r="29" spans="3:16" x14ac:dyDescent="0.35">
      <c r="C29" s="43" t="s">
        <v>78</v>
      </c>
      <c r="D29" s="44"/>
      <c r="E29" s="44"/>
      <c r="F29" s="44"/>
      <c r="G29" s="44"/>
      <c r="H29" s="44">
        <v>800</v>
      </c>
      <c r="I29" s="44">
        <v>800</v>
      </c>
      <c r="J29" s="44">
        <v>800</v>
      </c>
      <c r="K29" s="44">
        <v>800</v>
      </c>
      <c r="L29" s="44">
        <v>12171</v>
      </c>
      <c r="M29" s="44">
        <v>500</v>
      </c>
      <c r="N29" s="44">
        <v>500</v>
      </c>
      <c r="O29" s="44">
        <v>500</v>
      </c>
      <c r="P29" s="44">
        <v>16871</v>
      </c>
    </row>
    <row r="30" spans="3:16" x14ac:dyDescent="0.35">
      <c r="C30" s="43" t="s">
        <v>96</v>
      </c>
      <c r="D30" s="44">
        <f>+'Budget Revised'!I11</f>
        <v>255.41</v>
      </c>
      <c r="E30" s="44">
        <f>+'Budget Revised'!J11</f>
        <v>2632.42</v>
      </c>
      <c r="F30" s="44">
        <f>+'Budget Revised'!K11</f>
        <v>8171.67</v>
      </c>
      <c r="G30" s="44">
        <f>+'Budget Revised'!L11</f>
        <v>8000</v>
      </c>
      <c r="H30" s="44">
        <f>+'Budget Revised'!M11</f>
        <v>7200</v>
      </c>
      <c r="I30" s="44">
        <f>+'Budget Revised'!N11</f>
        <v>6360</v>
      </c>
      <c r="J30" s="44">
        <f>+'Budget Revised'!O11</f>
        <v>13500</v>
      </c>
      <c r="K30" s="44">
        <f>+'Budget Revised'!P11</f>
        <v>25000</v>
      </c>
      <c r="L30" s="44">
        <f>+'Budget Revised'!Q11</f>
        <v>68850</v>
      </c>
      <c r="M30" s="44">
        <f>+'Budget Revised'!R11</f>
        <v>7200</v>
      </c>
      <c r="N30" s="44">
        <f>+'Budget Revised'!S11</f>
        <v>10080</v>
      </c>
      <c r="O30" s="44">
        <f>+'Budget Revised'!T11</f>
        <v>9000</v>
      </c>
      <c r="P30" s="44">
        <f>SUM(D30:N30)</f>
        <v>157249.5</v>
      </c>
    </row>
    <row r="31" spans="3:16" x14ac:dyDescent="0.35">
      <c r="C31" s="43" t="s">
        <v>97</v>
      </c>
      <c r="D31" s="44">
        <f>+'Budget Revised'!I69</f>
        <v>8117.24</v>
      </c>
      <c r="E31" s="44">
        <f>+'Budget Revised'!J69</f>
        <v>9684.9599999999991</v>
      </c>
      <c r="F31" s="44">
        <f>+'Budget Revised'!K69</f>
        <v>-1740.46</v>
      </c>
      <c r="G31" s="44">
        <f>+'Budget Revised'!L69</f>
        <v>7432.4693500000003</v>
      </c>
      <c r="H31" s="44">
        <f>+'Budget Revised'!M69</f>
        <v>12203.50973</v>
      </c>
      <c r="I31" s="44">
        <f>+'Budget Revised'!N69</f>
        <v>12710.37075</v>
      </c>
      <c r="J31" s="44">
        <f>+'Budget Revised'!O69</f>
        <v>16739.691480000001</v>
      </c>
      <c r="K31" s="44">
        <f>+'Budget Revised'!P69</f>
        <v>15708.48704</v>
      </c>
      <c r="L31" s="44">
        <f>+'Budget Revised'!Q69</f>
        <v>16386.997289999999</v>
      </c>
      <c r="M31" s="44">
        <f>+'Budget Revised'!R69</f>
        <v>13113.285320000001</v>
      </c>
      <c r="N31" s="44">
        <f>+'Budget Revised'!S69</f>
        <v>12260.732110000001</v>
      </c>
      <c r="O31" s="44">
        <f>+'Budget Revised'!T69</f>
        <v>12323.67211</v>
      </c>
      <c r="P31" s="44">
        <v>194355.60073999999</v>
      </c>
    </row>
    <row r="32" spans="3:16" x14ac:dyDescent="0.35"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</row>
    <row r="33" spans="3:17" ht="15" thickBot="1" x14ac:dyDescent="0.4">
      <c r="D33" s="40" t="s">
        <v>79</v>
      </c>
      <c r="E33" s="40" t="s">
        <v>80</v>
      </c>
      <c r="F33" s="40" t="s">
        <v>81</v>
      </c>
      <c r="G33" s="40" t="s">
        <v>82</v>
      </c>
      <c r="H33" s="41" t="s">
        <v>83</v>
      </c>
      <c r="I33" s="41" t="s">
        <v>84</v>
      </c>
      <c r="J33" s="41" t="s">
        <v>85</v>
      </c>
      <c r="K33" s="41" t="s">
        <v>86</v>
      </c>
      <c r="L33" s="41" t="s">
        <v>87</v>
      </c>
      <c r="M33" s="41" t="s">
        <v>88</v>
      </c>
      <c r="N33" s="41" t="s">
        <v>89</v>
      </c>
      <c r="O33" s="41" t="s">
        <v>90</v>
      </c>
      <c r="P33" s="40"/>
      <c r="Q33" s="40"/>
    </row>
    <row r="34" spans="3:17" ht="15" thickTop="1" x14ac:dyDescent="0.35">
      <c r="C34" s="43" t="s">
        <v>130</v>
      </c>
      <c r="D34" s="44">
        <v>55979.19</v>
      </c>
      <c r="E34" s="115">
        <f>+D37</f>
        <v>55920.28</v>
      </c>
      <c r="F34" s="115">
        <f t="shared" ref="F34:O34" si="5">+E37</f>
        <v>54951.47</v>
      </c>
      <c r="G34" s="115">
        <f t="shared" si="5"/>
        <v>52339.71</v>
      </c>
      <c r="H34" s="115">
        <f t="shared" si="5"/>
        <v>52912.974999999999</v>
      </c>
      <c r="I34" s="115">
        <f t="shared" si="5"/>
        <v>55495.709999999992</v>
      </c>
      <c r="J34" s="115">
        <f t="shared" si="5"/>
        <v>77252.55</v>
      </c>
      <c r="K34" s="115">
        <f t="shared" si="5"/>
        <v>109141.09</v>
      </c>
      <c r="L34" s="115">
        <f t="shared" si="5"/>
        <v>107803.84</v>
      </c>
      <c r="M34" s="115">
        <f t="shared" si="5"/>
        <v>85393.084999999992</v>
      </c>
      <c r="N34" s="115">
        <f t="shared" si="5"/>
        <v>85524.768999999986</v>
      </c>
      <c r="O34" s="115">
        <f t="shared" si="5"/>
        <v>84087.16899999998</v>
      </c>
    </row>
    <row r="35" spans="3:17" x14ac:dyDescent="0.35">
      <c r="C35" s="43" t="s">
        <v>129</v>
      </c>
      <c r="D35" s="44"/>
      <c r="E35" s="44"/>
      <c r="F35" s="44">
        <v>761</v>
      </c>
      <c r="G35" s="44">
        <v>3773.2649999999994</v>
      </c>
      <c r="H35" s="44">
        <v>5534.7349999999969</v>
      </c>
      <c r="I35" s="44">
        <v>24026.040000000008</v>
      </c>
      <c r="J35" s="44">
        <v>37333.54</v>
      </c>
      <c r="K35" s="44">
        <v>9512.7499999999927</v>
      </c>
      <c r="L35" s="44">
        <v>8748.744999999999</v>
      </c>
      <c r="M35" s="44">
        <v>3215.683999999997</v>
      </c>
      <c r="N35" s="44">
        <v>3000</v>
      </c>
      <c r="O35" s="44">
        <v>3000</v>
      </c>
    </row>
    <row r="36" spans="3:17" x14ac:dyDescent="0.35">
      <c r="C36" s="43" t="s">
        <v>96</v>
      </c>
      <c r="D36" s="44">
        <f>+'Budget Revised'!I17</f>
        <v>58.91</v>
      </c>
      <c r="E36" s="44">
        <f>+'Budget Revised'!J17</f>
        <v>968.81</v>
      </c>
      <c r="F36" s="44">
        <f>+'Budget Revised'!K17</f>
        <v>3372.76</v>
      </c>
      <c r="G36" s="44">
        <f>+'Budget Revised'!L17</f>
        <v>3200</v>
      </c>
      <c r="H36" s="44">
        <f>+'Budget Revised'!M17</f>
        <v>2952</v>
      </c>
      <c r="I36" s="44">
        <f>+'Budget Revised'!N17</f>
        <v>2269.1999999999998</v>
      </c>
      <c r="J36" s="44">
        <f>+'Budget Revised'!O17</f>
        <v>5445</v>
      </c>
      <c r="K36" s="44">
        <f>+'Budget Revised'!P17</f>
        <v>10850</v>
      </c>
      <c r="L36" s="44">
        <f>+'Budget Revised'!Q17</f>
        <v>31159.5</v>
      </c>
      <c r="M36" s="44">
        <f>+'Budget Revised'!R17</f>
        <v>3084</v>
      </c>
      <c r="N36" s="44">
        <f>+'Budget Revised'!S17</f>
        <v>4437.6000000000004</v>
      </c>
      <c r="O36" s="44">
        <f>+'Budget Revised'!T17</f>
        <v>3930</v>
      </c>
    </row>
    <row r="37" spans="3:17" x14ac:dyDescent="0.35">
      <c r="C37" s="43" t="s">
        <v>131</v>
      </c>
      <c r="D37" s="44">
        <f>+D34+D35-D36</f>
        <v>55920.28</v>
      </c>
      <c r="E37" s="44">
        <f t="shared" ref="E37:O37" si="6">+E34+E35-E36</f>
        <v>54951.47</v>
      </c>
      <c r="F37" s="44">
        <f t="shared" si="6"/>
        <v>52339.71</v>
      </c>
      <c r="G37" s="44">
        <f t="shared" si="6"/>
        <v>52912.974999999999</v>
      </c>
      <c r="H37" s="44">
        <f t="shared" si="6"/>
        <v>55495.709999999992</v>
      </c>
      <c r="I37" s="44">
        <f t="shared" si="6"/>
        <v>77252.55</v>
      </c>
      <c r="J37" s="44">
        <f t="shared" si="6"/>
        <v>109141.09</v>
      </c>
      <c r="K37" s="44">
        <f t="shared" si="6"/>
        <v>107803.84</v>
      </c>
      <c r="L37" s="44">
        <f t="shared" si="6"/>
        <v>85393.084999999992</v>
      </c>
      <c r="M37" s="44">
        <f t="shared" si="6"/>
        <v>85524.768999999986</v>
      </c>
      <c r="N37" s="44">
        <f t="shared" si="6"/>
        <v>84087.16899999998</v>
      </c>
      <c r="O37" s="44">
        <f t="shared" si="6"/>
        <v>83157.16899999998</v>
      </c>
      <c r="P37" s="44"/>
      <c r="Q37" s="44"/>
    </row>
    <row r="39" spans="3:17" x14ac:dyDescent="0.35">
      <c r="D39" s="115"/>
    </row>
    <row r="41" spans="3:17" x14ac:dyDescent="0.35">
      <c r="D41" s="115"/>
    </row>
  </sheetData>
  <pageMargins left="0" right="0" top="0.75" bottom="0.75" header="0.3" footer="0.3"/>
  <pageSetup scale="80" orientation="landscape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L99"/>
  <sheetViews>
    <sheetView tabSelected="1" topLeftCell="D1" workbookViewId="0">
      <pane xSplit="5" ySplit="2" topLeftCell="I3" activePane="bottomRight" state="frozen"/>
      <selection activeCell="D1" sqref="D1"/>
      <selection pane="topRight" activeCell="I1" sqref="I1"/>
      <selection pane="bottomLeft" activeCell="D3" sqref="D3"/>
      <selection pane="bottomRight" activeCell="P28" sqref="P28:Q28"/>
    </sheetView>
  </sheetViews>
  <sheetFormatPr defaultColWidth="9.08984375" defaultRowHeight="14.5" x14ac:dyDescent="0.35"/>
  <cols>
    <col min="1" max="7" width="3" style="21" customWidth="1"/>
    <col min="8" max="8" width="24.36328125" style="21" customWidth="1"/>
    <col min="9" max="10" width="9.54296875" bestFit="1" customWidth="1"/>
    <col min="11" max="11" width="10.453125" customWidth="1"/>
    <col min="12" max="15" width="9.54296875" bestFit="1" customWidth="1"/>
    <col min="16" max="20" width="10.08984375" bestFit="1" customWidth="1"/>
    <col min="21" max="21" width="10.6328125" bestFit="1" customWidth="1"/>
    <col min="22" max="22" width="9.54296875" bestFit="1" customWidth="1"/>
  </cols>
  <sheetData>
    <row r="1" spans="1:22" ht="18.5" x14ac:dyDescent="0.45">
      <c r="K1" s="116" t="s">
        <v>132</v>
      </c>
    </row>
    <row r="2" spans="1:22" s="5" customFormat="1" ht="15" thickBot="1" x14ac:dyDescent="0.4">
      <c r="A2" s="1"/>
      <c r="B2" s="1"/>
      <c r="C2" s="1"/>
      <c r="D2" s="1"/>
      <c r="E2" s="1"/>
      <c r="F2" s="1"/>
      <c r="G2" s="1"/>
      <c r="H2" s="1"/>
      <c r="I2" s="139" t="s">
        <v>157</v>
      </c>
      <c r="J2" s="139" t="s">
        <v>158</v>
      </c>
      <c r="K2" s="139" t="s">
        <v>159</v>
      </c>
      <c r="L2" s="140">
        <v>44032</v>
      </c>
      <c r="M2" s="140">
        <v>44063</v>
      </c>
      <c r="N2" s="140">
        <v>44094</v>
      </c>
      <c r="O2" s="140">
        <v>44124</v>
      </c>
      <c r="P2" s="140">
        <v>44155</v>
      </c>
      <c r="Q2" s="140">
        <v>44185</v>
      </c>
      <c r="R2" s="140">
        <v>43851</v>
      </c>
      <c r="S2" s="140">
        <v>43882</v>
      </c>
      <c r="T2" s="140">
        <v>43911</v>
      </c>
      <c r="U2" s="141" t="s">
        <v>1</v>
      </c>
    </row>
    <row r="3" spans="1:22" ht="15" thickTop="1" x14ac:dyDescent="0.35">
      <c r="A3" s="6"/>
      <c r="B3" s="6" t="s">
        <v>2</v>
      </c>
      <c r="C3" s="6"/>
      <c r="D3" s="6"/>
      <c r="E3" s="6"/>
      <c r="F3" s="6"/>
      <c r="G3" s="6"/>
      <c r="H3" s="6"/>
      <c r="I3" s="117"/>
      <c r="J3" s="117"/>
      <c r="K3" s="117"/>
      <c r="U3" s="117"/>
    </row>
    <row r="4" spans="1:22" x14ac:dyDescent="0.35">
      <c r="A4" s="6"/>
      <c r="B4" s="6"/>
      <c r="C4" s="6"/>
      <c r="D4" s="6" t="s">
        <v>3</v>
      </c>
      <c r="E4" s="6"/>
      <c r="F4" s="6"/>
      <c r="G4" s="6"/>
      <c r="H4" s="6"/>
      <c r="I4" s="117"/>
      <c r="J4" s="117"/>
      <c r="K4" s="117"/>
      <c r="U4" s="117"/>
    </row>
    <row r="5" spans="1:22" x14ac:dyDescent="0.35">
      <c r="A5" s="6"/>
      <c r="B5" s="6"/>
      <c r="C5" s="6"/>
      <c r="D5" s="6"/>
      <c r="E5" s="6" t="s">
        <v>4</v>
      </c>
      <c r="F5" s="6"/>
      <c r="G5" s="6"/>
      <c r="H5" s="6"/>
      <c r="I5" s="117"/>
      <c r="J5" s="117"/>
      <c r="K5" s="117"/>
      <c r="U5" s="117"/>
    </row>
    <row r="6" spans="1:22" x14ac:dyDescent="0.35">
      <c r="A6" s="6"/>
      <c r="B6" s="6"/>
      <c r="C6" s="6"/>
      <c r="D6" s="6"/>
      <c r="E6" s="6"/>
      <c r="F6" s="6" t="s">
        <v>5</v>
      </c>
      <c r="G6" s="6"/>
      <c r="H6" s="6"/>
      <c r="I6" s="121">
        <v>255.41</v>
      </c>
      <c r="J6" s="121">
        <v>2632.42</v>
      </c>
      <c r="K6" s="121">
        <v>8171.67</v>
      </c>
      <c r="L6" s="138">
        <v>8000</v>
      </c>
      <c r="M6" s="138">
        <f>+'2021 Budget'!M6*0.4</f>
        <v>7200</v>
      </c>
      <c r="N6" s="138">
        <f>+'2021 Budget'!N6*0.4</f>
        <v>6360</v>
      </c>
      <c r="O6" s="138">
        <f>+'2021 Budget'!O6*0.6</f>
        <v>13500</v>
      </c>
      <c r="P6" s="138">
        <v>25000</v>
      </c>
      <c r="Q6" s="138">
        <f>+'2021 Budget'!Q6*0.75</f>
        <v>68850</v>
      </c>
      <c r="R6" s="138">
        <f>+'2021 Budget'!R6*0.6</f>
        <v>7200</v>
      </c>
      <c r="S6" s="138">
        <f>+'2021 Budget'!S6*0.6</f>
        <v>10080</v>
      </c>
      <c r="T6" s="138">
        <f>+'2021 Budget'!T6*0.6</f>
        <v>9000</v>
      </c>
      <c r="U6" s="121">
        <f>ROUND(SUM(I6:T6),5)</f>
        <v>166249.5</v>
      </c>
      <c r="V6" s="44"/>
    </row>
    <row r="7" spans="1:22" x14ac:dyDescent="0.35">
      <c r="A7" s="6"/>
      <c r="B7" s="6"/>
      <c r="C7" s="6"/>
      <c r="D7" s="6"/>
      <c r="E7" s="6"/>
      <c r="F7" s="6" t="s">
        <v>150</v>
      </c>
      <c r="G7" s="6"/>
      <c r="H7" s="6"/>
      <c r="I7" s="121"/>
      <c r="J7" s="121"/>
      <c r="K7" s="121"/>
      <c r="L7" s="138"/>
      <c r="M7" s="138"/>
      <c r="N7" s="138"/>
      <c r="O7" s="138"/>
      <c r="P7" s="138"/>
      <c r="Q7" s="138"/>
      <c r="R7" s="138"/>
      <c r="S7" s="138"/>
      <c r="T7" s="138"/>
      <c r="U7" s="121"/>
      <c r="V7" s="44"/>
    </row>
    <row r="8" spans="1:22" ht="15" thickBot="1" x14ac:dyDescent="0.4">
      <c r="A8" s="6"/>
      <c r="B8" s="6"/>
      <c r="C8" s="6"/>
      <c r="D8" s="6"/>
      <c r="E8" s="6"/>
      <c r="F8" s="6"/>
      <c r="G8" s="6" t="s">
        <v>151</v>
      </c>
      <c r="H8" s="6"/>
      <c r="I8" s="125"/>
      <c r="J8" s="125"/>
      <c r="K8" s="125"/>
      <c r="L8" s="131"/>
      <c r="M8" s="131"/>
      <c r="N8" s="131"/>
      <c r="O8" s="131"/>
      <c r="P8" s="131"/>
      <c r="Q8" s="131"/>
      <c r="R8" s="131"/>
      <c r="S8" s="131"/>
      <c r="T8" s="131"/>
      <c r="U8" s="125">
        <f>ROUND(SUM(I8:T8),5)</f>
        <v>0</v>
      </c>
      <c r="V8" s="44"/>
    </row>
    <row r="9" spans="1:22" ht="15" thickBot="1" x14ac:dyDescent="0.4">
      <c r="A9" s="6"/>
      <c r="B9" s="6"/>
      <c r="C9" s="6"/>
      <c r="D9" s="6"/>
      <c r="E9" s="6"/>
      <c r="F9" s="6" t="s">
        <v>152</v>
      </c>
      <c r="G9" s="6"/>
      <c r="H9" s="6"/>
      <c r="I9" s="121"/>
      <c r="J9" s="121"/>
      <c r="K9" s="121"/>
      <c r="L9" s="131"/>
      <c r="M9" s="131"/>
      <c r="N9" s="131"/>
      <c r="O9" s="145">
        <f>SUM(O8)</f>
        <v>0</v>
      </c>
      <c r="P9" s="145">
        <f t="shared" ref="P9:Q9" si="0">SUM(P8)</f>
        <v>0</v>
      </c>
      <c r="Q9" s="145">
        <f t="shared" si="0"/>
        <v>0</v>
      </c>
      <c r="R9" s="131"/>
      <c r="S9" s="131"/>
      <c r="T9" s="131"/>
      <c r="U9" s="125">
        <f>ROUND(SUM(I9:T9),5)</f>
        <v>0</v>
      </c>
      <c r="V9" s="44"/>
    </row>
    <row r="10" spans="1:22" ht="15" thickBot="1" x14ac:dyDescent="0.4">
      <c r="A10" s="6"/>
      <c r="B10" s="6"/>
      <c r="C10" s="6"/>
      <c r="D10" s="6"/>
      <c r="E10" s="6" t="s">
        <v>9</v>
      </c>
      <c r="F10" s="6"/>
      <c r="G10" s="6"/>
      <c r="H10" s="6"/>
      <c r="I10" s="123">
        <f>ROUND(SUM(I5:I6),5)</f>
        <v>255.41</v>
      </c>
      <c r="J10" s="123">
        <f>ROUND(SUM(J5:J6),5)</f>
        <v>2632.42</v>
      </c>
      <c r="K10" s="123">
        <f>ROUND(SUM(K5:K6),5)</f>
        <v>8171.67</v>
      </c>
      <c r="L10" s="123">
        <f>ROUND(SUM(L5:L6),5)</f>
        <v>8000</v>
      </c>
      <c r="M10" s="123">
        <f t="shared" ref="M10:N10" si="1">ROUND(SUM(M5:M6),5)</f>
        <v>7200</v>
      </c>
      <c r="N10" s="123">
        <f t="shared" si="1"/>
        <v>6360</v>
      </c>
      <c r="O10" s="123">
        <f>+O6+O9</f>
        <v>13500</v>
      </c>
      <c r="P10" s="123">
        <f t="shared" ref="P10:T10" si="2">+P6+P9</f>
        <v>25000</v>
      </c>
      <c r="Q10" s="123">
        <f t="shared" si="2"/>
        <v>68850</v>
      </c>
      <c r="R10" s="123">
        <f t="shared" si="2"/>
        <v>7200</v>
      </c>
      <c r="S10" s="123">
        <f t="shared" si="2"/>
        <v>10080</v>
      </c>
      <c r="T10" s="123">
        <f t="shared" si="2"/>
        <v>9000</v>
      </c>
      <c r="U10" s="123">
        <f>ROUND(SUM(I10:T10),5)</f>
        <v>166249.5</v>
      </c>
      <c r="V10" s="44"/>
    </row>
    <row r="11" spans="1:22" x14ac:dyDescent="0.35">
      <c r="A11" s="6"/>
      <c r="B11" s="6"/>
      <c r="C11" s="6"/>
      <c r="D11" s="6" t="s">
        <v>10</v>
      </c>
      <c r="E11" s="6"/>
      <c r="F11" s="6"/>
      <c r="G11" s="6"/>
      <c r="H11" s="6"/>
      <c r="I11" s="121">
        <f>ROUND(I4+I10,5)</f>
        <v>255.41</v>
      </c>
      <c r="J11" s="121">
        <f>ROUND(J4+J10,5)</f>
        <v>2632.42</v>
      </c>
      <c r="K11" s="121">
        <f>ROUND(K4+K10,5)</f>
        <v>8171.67</v>
      </c>
      <c r="L11" s="121">
        <f>ROUND(L4+L10,5)</f>
        <v>8000</v>
      </c>
      <c r="M11" s="121">
        <f t="shared" ref="M11:T11" si="3">ROUND(M4+M10,5)</f>
        <v>7200</v>
      </c>
      <c r="N11" s="121">
        <f t="shared" si="3"/>
        <v>6360</v>
      </c>
      <c r="O11" s="121">
        <f t="shared" si="3"/>
        <v>13500</v>
      </c>
      <c r="P11" s="121">
        <f t="shared" si="3"/>
        <v>25000</v>
      </c>
      <c r="Q11" s="121">
        <f t="shared" si="3"/>
        <v>68850</v>
      </c>
      <c r="R11" s="121">
        <f t="shared" si="3"/>
        <v>7200</v>
      </c>
      <c r="S11" s="121">
        <f t="shared" si="3"/>
        <v>10080</v>
      </c>
      <c r="T11" s="121">
        <f t="shared" si="3"/>
        <v>9000</v>
      </c>
      <c r="U11" s="121">
        <f>ROUND(SUM(I11:T11),5)</f>
        <v>166249.5</v>
      </c>
      <c r="V11" s="44"/>
    </row>
    <row r="12" spans="1:22" x14ac:dyDescent="0.35">
      <c r="A12" s="6"/>
      <c r="B12" s="6"/>
      <c r="C12" s="6"/>
      <c r="D12" s="6" t="s">
        <v>11</v>
      </c>
      <c r="E12" s="6"/>
      <c r="F12" s="6"/>
      <c r="G12" s="6"/>
      <c r="H12" s="6"/>
      <c r="I12" s="121"/>
      <c r="J12" s="121"/>
      <c r="K12" s="121"/>
      <c r="L12" s="122"/>
      <c r="M12" s="122"/>
      <c r="N12" s="122"/>
      <c r="O12" s="122"/>
      <c r="P12" s="122"/>
      <c r="Q12" s="122"/>
      <c r="R12" s="122"/>
      <c r="S12" s="122"/>
      <c r="T12" s="122"/>
      <c r="U12" s="121"/>
      <c r="V12" s="44"/>
    </row>
    <row r="13" spans="1:22" x14ac:dyDescent="0.35">
      <c r="A13" s="6"/>
      <c r="B13" s="6"/>
      <c r="C13" s="6"/>
      <c r="D13" s="6"/>
      <c r="E13" s="6" t="s">
        <v>12</v>
      </c>
      <c r="F13" s="6"/>
      <c r="G13" s="6"/>
      <c r="H13" s="6"/>
      <c r="I13" s="121"/>
      <c r="J13" s="121"/>
      <c r="K13" s="121"/>
      <c r="L13" s="122"/>
      <c r="M13" s="122"/>
      <c r="N13" s="122"/>
      <c r="O13" s="122"/>
      <c r="P13" s="122"/>
      <c r="Q13" s="122"/>
      <c r="R13" s="122"/>
      <c r="S13" s="122"/>
      <c r="T13" s="122"/>
      <c r="U13" s="121"/>
      <c r="V13" s="44"/>
    </row>
    <row r="14" spans="1:22" x14ac:dyDescent="0.35">
      <c r="A14" s="6"/>
      <c r="B14" s="6"/>
      <c r="C14" s="6"/>
      <c r="D14" s="6"/>
      <c r="E14" s="6"/>
      <c r="F14" s="6" t="s">
        <v>13</v>
      </c>
      <c r="G14" s="6"/>
      <c r="H14" s="6"/>
      <c r="I14" s="121">
        <v>119.14</v>
      </c>
      <c r="J14" s="121">
        <v>1310.45</v>
      </c>
      <c r="K14" s="121">
        <v>3736.98</v>
      </c>
      <c r="L14" s="133">
        <f>+L11*0.45</f>
        <v>3600</v>
      </c>
      <c r="M14" s="133">
        <f>+M11*0.46</f>
        <v>3312</v>
      </c>
      <c r="N14" s="133">
        <f>+N11*0.47</f>
        <v>2989.2</v>
      </c>
      <c r="O14" s="133">
        <f t="shared" ref="O14:T14" si="4">+O11*0.47</f>
        <v>6345</v>
      </c>
      <c r="P14" s="133">
        <f t="shared" si="4"/>
        <v>11750</v>
      </c>
      <c r="Q14" s="133">
        <f t="shared" si="4"/>
        <v>32359.499999999996</v>
      </c>
      <c r="R14" s="133">
        <f t="shared" si="4"/>
        <v>3384</v>
      </c>
      <c r="S14" s="133">
        <f t="shared" si="4"/>
        <v>4737.5999999999995</v>
      </c>
      <c r="T14" s="133">
        <f t="shared" si="4"/>
        <v>4230</v>
      </c>
      <c r="U14" s="121">
        <f>ROUND(SUM(I14:T14),5)</f>
        <v>77873.87</v>
      </c>
      <c r="V14" s="44"/>
    </row>
    <row r="15" spans="1:22" ht="15" thickBot="1" x14ac:dyDescent="0.4">
      <c r="A15" s="6"/>
      <c r="B15" s="6"/>
      <c r="C15" s="6"/>
      <c r="D15" s="6"/>
      <c r="E15" s="6"/>
      <c r="F15" s="6" t="s">
        <v>14</v>
      </c>
      <c r="G15" s="6"/>
      <c r="H15" s="6"/>
      <c r="I15" s="121">
        <v>-60.23</v>
      </c>
      <c r="J15" s="121">
        <v>-341.64</v>
      </c>
      <c r="K15" s="125">
        <v>-364.22</v>
      </c>
      <c r="L15" s="131">
        <v>-400</v>
      </c>
      <c r="M15" s="131">
        <v>-360</v>
      </c>
      <c r="N15" s="131">
        <v>-720</v>
      </c>
      <c r="O15" s="131">
        <v>-900</v>
      </c>
      <c r="P15" s="131">
        <v>-900</v>
      </c>
      <c r="Q15" s="131">
        <v>-1200</v>
      </c>
      <c r="R15" s="131">
        <v>-300</v>
      </c>
      <c r="S15" s="131">
        <v>-300</v>
      </c>
      <c r="T15" s="131">
        <v>-300</v>
      </c>
      <c r="U15" s="121">
        <f>ROUND(SUM(I15:T15),5)</f>
        <v>-6146.09</v>
      </c>
      <c r="V15" s="44"/>
    </row>
    <row r="16" spans="1:22" ht="15" thickBot="1" x14ac:dyDescent="0.4">
      <c r="A16" s="6"/>
      <c r="B16" s="6"/>
      <c r="C16" s="6"/>
      <c r="D16" s="6"/>
      <c r="E16" s="6" t="s">
        <v>15</v>
      </c>
      <c r="F16" s="6"/>
      <c r="G16" s="6"/>
      <c r="H16" s="6"/>
      <c r="I16" s="124">
        <f>ROUND(SUM(I13:I15),5)</f>
        <v>58.91</v>
      </c>
      <c r="J16" s="124">
        <f>ROUND(SUM(J13:J15),5)</f>
        <v>968.81</v>
      </c>
      <c r="K16" s="123">
        <f>ROUND(SUM(K13:K15),5)</f>
        <v>3372.76</v>
      </c>
      <c r="L16" s="123">
        <f>ROUND(SUM(L13:L15),5)</f>
        <v>3200</v>
      </c>
      <c r="M16" s="123">
        <f t="shared" ref="M16:T16" si="5">ROUND(SUM(M13:M15),5)</f>
        <v>2952</v>
      </c>
      <c r="N16" s="123">
        <f t="shared" si="5"/>
        <v>2269.1999999999998</v>
      </c>
      <c r="O16" s="123">
        <f t="shared" si="5"/>
        <v>5445</v>
      </c>
      <c r="P16" s="123">
        <f t="shared" si="5"/>
        <v>10850</v>
      </c>
      <c r="Q16" s="123">
        <f t="shared" si="5"/>
        <v>31159.5</v>
      </c>
      <c r="R16" s="123">
        <f t="shared" si="5"/>
        <v>3084</v>
      </c>
      <c r="S16" s="123">
        <f t="shared" si="5"/>
        <v>4437.6000000000004</v>
      </c>
      <c r="T16" s="123">
        <f t="shared" si="5"/>
        <v>3930</v>
      </c>
      <c r="U16" s="124">
        <f>ROUND(SUM(I16:T16),5)</f>
        <v>71727.78</v>
      </c>
      <c r="V16" s="44"/>
    </row>
    <row r="17" spans="1:22" ht="15" thickBot="1" x14ac:dyDescent="0.4">
      <c r="A17" s="6"/>
      <c r="B17" s="6"/>
      <c r="C17" s="6"/>
      <c r="D17" s="6" t="s">
        <v>16</v>
      </c>
      <c r="E17" s="6"/>
      <c r="F17" s="6"/>
      <c r="G17" s="6"/>
      <c r="H17" s="6"/>
      <c r="I17" s="123">
        <f>ROUND(I12+I16,5)</f>
        <v>58.91</v>
      </c>
      <c r="J17" s="123">
        <f>ROUND(J12+J16,5)</f>
        <v>968.81</v>
      </c>
      <c r="K17" s="123">
        <f>ROUND(K12+K16,5)</f>
        <v>3372.76</v>
      </c>
      <c r="L17" s="123">
        <f>ROUND(L12+L16,5)</f>
        <v>3200</v>
      </c>
      <c r="M17" s="123">
        <f t="shared" ref="M17:T17" si="6">ROUND(M12+M16,5)</f>
        <v>2952</v>
      </c>
      <c r="N17" s="123">
        <f t="shared" si="6"/>
        <v>2269.1999999999998</v>
      </c>
      <c r="O17" s="123">
        <f t="shared" si="6"/>
        <v>5445</v>
      </c>
      <c r="P17" s="123">
        <f t="shared" si="6"/>
        <v>10850</v>
      </c>
      <c r="Q17" s="123">
        <f t="shared" si="6"/>
        <v>31159.5</v>
      </c>
      <c r="R17" s="123">
        <f t="shared" si="6"/>
        <v>3084</v>
      </c>
      <c r="S17" s="123">
        <f t="shared" si="6"/>
        <v>4437.6000000000004</v>
      </c>
      <c r="T17" s="123">
        <f t="shared" si="6"/>
        <v>3930</v>
      </c>
      <c r="U17" s="123">
        <f>ROUND(SUM(I17:T17),5)</f>
        <v>71727.78</v>
      </c>
      <c r="V17" s="44"/>
    </row>
    <row r="18" spans="1:22" x14ac:dyDescent="0.35">
      <c r="A18" s="6"/>
      <c r="B18" s="6"/>
      <c r="C18" s="6" t="s">
        <v>17</v>
      </c>
      <c r="D18" s="6"/>
      <c r="E18" s="6"/>
      <c r="F18" s="6"/>
      <c r="G18" s="6"/>
      <c r="H18" s="6"/>
      <c r="I18" s="121">
        <f>ROUND(I11-I17,5)</f>
        <v>196.5</v>
      </c>
      <c r="J18" s="121">
        <f>ROUND(J11-J17,5)</f>
        <v>1663.61</v>
      </c>
      <c r="K18" s="121">
        <f>ROUND(K11-K17,5)</f>
        <v>4798.91</v>
      </c>
      <c r="L18" s="133">
        <f>+L11-L17</f>
        <v>4800</v>
      </c>
      <c r="M18" s="133">
        <f t="shared" ref="M18:T18" si="7">+M11-M17</f>
        <v>4248</v>
      </c>
      <c r="N18" s="133">
        <f t="shared" si="7"/>
        <v>4090.8</v>
      </c>
      <c r="O18" s="133">
        <f t="shared" si="7"/>
        <v>8055</v>
      </c>
      <c r="P18" s="133">
        <f t="shared" si="7"/>
        <v>14150</v>
      </c>
      <c r="Q18" s="133">
        <f t="shared" si="7"/>
        <v>37690.5</v>
      </c>
      <c r="R18" s="133">
        <f t="shared" si="7"/>
        <v>4116</v>
      </c>
      <c r="S18" s="133">
        <f t="shared" si="7"/>
        <v>5642.4</v>
      </c>
      <c r="T18" s="133">
        <f t="shared" si="7"/>
        <v>5070</v>
      </c>
      <c r="U18" s="121">
        <f>ROUND(SUM(I18:T18),5)</f>
        <v>94521.72</v>
      </c>
      <c r="V18" s="44"/>
    </row>
    <row r="19" spans="1:22" x14ac:dyDescent="0.35">
      <c r="A19" s="6"/>
      <c r="B19" s="6"/>
      <c r="C19" s="6"/>
      <c r="D19" s="6"/>
      <c r="E19" s="6"/>
      <c r="F19" s="6"/>
      <c r="G19" s="6"/>
      <c r="H19" s="6"/>
      <c r="I19" s="132">
        <f t="shared" ref="I19:K19" si="8">+I18/I11</f>
        <v>0.76935123918405701</v>
      </c>
      <c r="J19" s="132">
        <f t="shared" si="8"/>
        <v>0.63196982244474664</v>
      </c>
      <c r="K19" s="132">
        <f t="shared" si="8"/>
        <v>0.58726184488605138</v>
      </c>
      <c r="L19" s="132">
        <f>+L18/L11</f>
        <v>0.6</v>
      </c>
      <c r="M19" s="132">
        <f t="shared" ref="M19:T19" si="9">+M18/M11</f>
        <v>0.59</v>
      </c>
      <c r="N19" s="132">
        <f t="shared" si="9"/>
        <v>0.64320754716981132</v>
      </c>
      <c r="O19" s="132">
        <f t="shared" si="9"/>
        <v>0.59666666666666668</v>
      </c>
      <c r="P19" s="132">
        <f t="shared" si="9"/>
        <v>0.56599999999999995</v>
      </c>
      <c r="Q19" s="132">
        <f t="shared" si="9"/>
        <v>0.54742919389978217</v>
      </c>
      <c r="R19" s="132">
        <f t="shared" si="9"/>
        <v>0.57166666666666666</v>
      </c>
      <c r="S19" s="132">
        <f t="shared" si="9"/>
        <v>0.55976190476190468</v>
      </c>
      <c r="T19" s="132">
        <f t="shared" si="9"/>
        <v>0.56333333333333335</v>
      </c>
      <c r="U19" s="132">
        <f>+U18/U11</f>
        <v>0.56855340918318553</v>
      </c>
      <c r="V19" s="44"/>
    </row>
    <row r="20" spans="1:22" x14ac:dyDescent="0.35">
      <c r="A20" s="6"/>
      <c r="B20" s="6"/>
      <c r="C20" s="6"/>
      <c r="D20" s="6" t="s">
        <v>18</v>
      </c>
      <c r="E20" s="6"/>
      <c r="F20" s="6"/>
      <c r="G20" s="6"/>
      <c r="H20" s="6"/>
      <c r="I20" s="121"/>
      <c r="J20" s="121"/>
      <c r="K20" s="121"/>
      <c r="L20" s="132"/>
      <c r="M20" s="132"/>
      <c r="N20" s="132"/>
      <c r="O20" s="132"/>
      <c r="P20" s="132"/>
      <c r="Q20" s="132"/>
      <c r="R20" s="132"/>
      <c r="S20" s="132"/>
      <c r="T20" s="132"/>
      <c r="U20" s="121"/>
      <c r="V20" s="44"/>
    </row>
    <row r="21" spans="1:22" x14ac:dyDescent="0.35">
      <c r="A21" s="6"/>
      <c r="B21" s="6"/>
      <c r="C21" s="6"/>
      <c r="D21" s="6"/>
      <c r="E21" s="6" t="s">
        <v>19</v>
      </c>
      <c r="F21" s="6"/>
      <c r="G21" s="6"/>
      <c r="H21" s="6"/>
      <c r="I21" s="121"/>
      <c r="J21" s="121"/>
      <c r="K21" s="121"/>
      <c r="L21" s="122"/>
      <c r="M21" s="122"/>
      <c r="N21" s="122"/>
      <c r="O21" s="122"/>
      <c r="P21" s="122"/>
      <c r="Q21" s="122"/>
      <c r="R21" s="122"/>
      <c r="S21" s="122"/>
      <c r="T21" s="122"/>
      <c r="U21" s="121"/>
      <c r="V21" s="44"/>
    </row>
    <row r="22" spans="1:22" x14ac:dyDescent="0.35">
      <c r="A22" s="6"/>
      <c r="B22" s="6"/>
      <c r="C22" s="6"/>
      <c r="D22" s="6"/>
      <c r="E22" s="6"/>
      <c r="F22" s="6" t="s">
        <v>20</v>
      </c>
      <c r="G22" s="6"/>
      <c r="H22" s="6"/>
      <c r="I22" s="121"/>
      <c r="J22" s="121"/>
      <c r="K22" s="121"/>
      <c r="L22" s="122"/>
      <c r="M22" s="122"/>
      <c r="N22" s="122"/>
      <c r="O22" s="122"/>
      <c r="P22" s="122"/>
      <c r="Q22" s="122"/>
      <c r="R22" s="122"/>
      <c r="S22" s="122"/>
      <c r="T22" s="122"/>
      <c r="U22" s="121"/>
      <c r="V22" s="44"/>
    </row>
    <row r="23" spans="1:22" x14ac:dyDescent="0.35">
      <c r="A23" s="6"/>
      <c r="B23" s="6"/>
      <c r="C23" s="6"/>
      <c r="D23" s="6"/>
      <c r="E23" s="6"/>
      <c r="F23" s="6"/>
      <c r="G23" s="6" t="s">
        <v>21</v>
      </c>
      <c r="H23" s="6"/>
      <c r="I23" s="121">
        <v>3214.28</v>
      </c>
      <c r="J23" s="121">
        <v>3214.29</v>
      </c>
      <c r="K23" s="121">
        <v>3321.43</v>
      </c>
      <c r="L23" s="121">
        <v>3321.43</v>
      </c>
      <c r="M23" s="121">
        <v>3321.43</v>
      </c>
      <c r="N23" s="121">
        <v>3321.43</v>
      </c>
      <c r="O23" s="121">
        <v>3321.43</v>
      </c>
      <c r="P23" s="121">
        <v>3321.43</v>
      </c>
      <c r="Q23" s="121">
        <v>3321.43</v>
      </c>
      <c r="R23" s="121">
        <v>3321.43</v>
      </c>
      <c r="S23" s="121">
        <v>3321.43</v>
      </c>
      <c r="T23" s="121">
        <v>3321.43</v>
      </c>
      <c r="U23" s="121">
        <f>ROUND(SUM(I23:T23),5)</f>
        <v>39642.870000000003</v>
      </c>
      <c r="V23" s="44"/>
    </row>
    <row r="24" spans="1:22" x14ac:dyDescent="0.35">
      <c r="A24" s="6"/>
      <c r="B24" s="6"/>
      <c r="C24" s="6"/>
      <c r="D24" s="6"/>
      <c r="E24" s="6"/>
      <c r="F24" s="6"/>
      <c r="G24" s="6" t="s">
        <v>108</v>
      </c>
      <c r="H24" s="6"/>
      <c r="I24" s="121">
        <v>0</v>
      </c>
      <c r="J24" s="121">
        <v>0</v>
      </c>
      <c r="K24" s="121">
        <v>0</v>
      </c>
      <c r="L24" s="122"/>
      <c r="M24" s="122"/>
      <c r="N24" s="122"/>
      <c r="O24" s="122"/>
      <c r="P24" s="122"/>
      <c r="Q24" s="122"/>
      <c r="R24" s="122"/>
      <c r="S24" s="122"/>
      <c r="T24" s="122"/>
      <c r="U24" s="121">
        <f t="shared" ref="U24:U60" si="10">ROUND(SUM(I24:T24),5)</f>
        <v>0</v>
      </c>
      <c r="V24" s="44"/>
    </row>
    <row r="25" spans="1:22" x14ac:dyDescent="0.35">
      <c r="A25" s="6"/>
      <c r="B25" s="6"/>
      <c r="C25" s="6"/>
      <c r="D25" s="6"/>
      <c r="E25" s="6"/>
      <c r="F25" s="6"/>
      <c r="G25" s="6" t="s">
        <v>133</v>
      </c>
      <c r="H25" s="6"/>
      <c r="I25" s="121">
        <v>0</v>
      </c>
      <c r="J25" s="121">
        <v>701.28</v>
      </c>
      <c r="K25" s="121">
        <v>1311.04</v>
      </c>
      <c r="L25" s="133">
        <v>1311</v>
      </c>
      <c r="M25" s="133">
        <v>1300</v>
      </c>
      <c r="N25" s="137">
        <f>16*80</f>
        <v>1280</v>
      </c>
      <c r="O25" s="121">
        <f>16*100</f>
        <v>1600</v>
      </c>
      <c r="P25" s="121">
        <f>16*120</f>
        <v>1920</v>
      </c>
      <c r="Q25" s="121">
        <f>16*120</f>
        <v>1920</v>
      </c>
      <c r="R25" s="121">
        <f>16*100</f>
        <v>1600</v>
      </c>
      <c r="S25" s="121">
        <f>16*80</f>
        <v>1280</v>
      </c>
      <c r="T25" s="121">
        <f>16*80</f>
        <v>1280</v>
      </c>
      <c r="U25" s="121">
        <f t="shared" si="10"/>
        <v>15503.32</v>
      </c>
      <c r="V25" s="44"/>
    </row>
    <row r="26" spans="1:22" x14ac:dyDescent="0.35">
      <c r="A26" s="6"/>
      <c r="B26" s="6"/>
      <c r="C26" s="6"/>
      <c r="D26" s="6"/>
      <c r="E26" s="6"/>
      <c r="F26" s="6"/>
      <c r="G26" s="6" t="s">
        <v>24</v>
      </c>
      <c r="H26" s="6"/>
      <c r="I26" s="121">
        <v>100.02</v>
      </c>
      <c r="J26" s="121">
        <v>211.68</v>
      </c>
      <c r="K26" s="121">
        <v>344.3</v>
      </c>
      <c r="L26" s="136">
        <v>379.12</v>
      </c>
      <c r="M26" s="136">
        <v>105.06</v>
      </c>
      <c r="N26" s="137">
        <v>208.32</v>
      </c>
      <c r="O26" s="121">
        <v>247.81</v>
      </c>
      <c r="P26" s="121">
        <v>390.09</v>
      </c>
      <c r="Q26" s="121">
        <v>798.34</v>
      </c>
      <c r="R26" s="121">
        <v>387.73</v>
      </c>
      <c r="S26" s="121">
        <v>366</v>
      </c>
      <c r="T26" s="121">
        <v>366</v>
      </c>
      <c r="U26" s="121">
        <f t="shared" si="10"/>
        <v>3904.47</v>
      </c>
      <c r="V26" s="44"/>
    </row>
    <row r="27" spans="1:22" x14ac:dyDescent="0.35">
      <c r="A27" s="6"/>
      <c r="B27" s="6"/>
      <c r="C27" s="6"/>
      <c r="D27" s="6"/>
      <c r="E27" s="6"/>
      <c r="F27" s="6"/>
      <c r="G27" s="6" t="s">
        <v>25</v>
      </c>
      <c r="H27" s="6"/>
      <c r="I27" s="121"/>
      <c r="J27" s="121"/>
      <c r="K27" s="121"/>
      <c r="L27" s="121">
        <v>0</v>
      </c>
      <c r="M27" s="121">
        <v>0</v>
      </c>
      <c r="N27" s="121">
        <v>0</v>
      </c>
      <c r="O27" s="121">
        <f>12*100</f>
        <v>1200</v>
      </c>
      <c r="P27" s="146">
        <f>12*160</f>
        <v>1920</v>
      </c>
      <c r="Q27" s="146">
        <f>12*200</f>
        <v>2400</v>
      </c>
      <c r="R27" s="121">
        <v>500</v>
      </c>
      <c r="S27" s="121">
        <v>0</v>
      </c>
      <c r="T27" s="121">
        <v>0</v>
      </c>
      <c r="U27" s="121">
        <f t="shared" si="10"/>
        <v>6020</v>
      </c>
      <c r="V27" s="44"/>
    </row>
    <row r="28" spans="1:22" x14ac:dyDescent="0.35">
      <c r="A28" s="6"/>
      <c r="B28" s="6"/>
      <c r="C28" s="6"/>
      <c r="D28" s="6"/>
      <c r="E28" s="6"/>
      <c r="F28" s="6"/>
      <c r="G28" s="6" t="s">
        <v>26</v>
      </c>
      <c r="H28" s="6"/>
      <c r="I28" s="121">
        <v>253.55</v>
      </c>
      <c r="J28" s="121">
        <v>315.74</v>
      </c>
      <c r="K28" s="121">
        <v>380.73</v>
      </c>
      <c r="L28" s="121">
        <f t="shared" ref="L28:T28" si="11">SUM(L23:L27)*0.077</f>
        <v>385.88935000000004</v>
      </c>
      <c r="M28" s="121">
        <f t="shared" si="11"/>
        <v>363.93973000000005</v>
      </c>
      <c r="N28" s="121">
        <f t="shared" si="11"/>
        <v>370.35075000000001</v>
      </c>
      <c r="O28" s="121">
        <f t="shared" si="11"/>
        <v>490.43148000000002</v>
      </c>
      <c r="P28" s="146">
        <f t="shared" si="11"/>
        <v>581.46704</v>
      </c>
      <c r="Q28" s="146">
        <f t="shared" si="11"/>
        <v>649.86229000000003</v>
      </c>
      <c r="R28" s="121">
        <f t="shared" si="11"/>
        <v>447.30531999999999</v>
      </c>
      <c r="S28" s="121">
        <f t="shared" si="11"/>
        <v>382.49211000000003</v>
      </c>
      <c r="T28" s="121">
        <f t="shared" si="11"/>
        <v>382.49211000000003</v>
      </c>
      <c r="U28" s="121">
        <f t="shared" si="10"/>
        <v>5004.25018</v>
      </c>
      <c r="V28" s="44"/>
    </row>
    <row r="29" spans="1:22" ht="15" thickBot="1" x14ac:dyDescent="0.4">
      <c r="A29" s="6"/>
      <c r="B29" s="6"/>
      <c r="C29" s="6"/>
      <c r="D29" s="6"/>
      <c r="E29" s="6"/>
      <c r="F29" s="6"/>
      <c r="G29" s="6" t="s">
        <v>27</v>
      </c>
      <c r="H29" s="6"/>
      <c r="I29" s="125">
        <v>55</v>
      </c>
      <c r="J29" s="125">
        <v>55</v>
      </c>
      <c r="K29" s="125">
        <v>55</v>
      </c>
      <c r="L29" s="125">
        <v>55</v>
      </c>
      <c r="M29" s="125">
        <v>55</v>
      </c>
      <c r="N29" s="125">
        <v>55</v>
      </c>
      <c r="O29" s="125">
        <v>55</v>
      </c>
      <c r="P29" s="125">
        <v>55</v>
      </c>
      <c r="Q29" s="125">
        <v>55</v>
      </c>
      <c r="R29" s="125">
        <v>55</v>
      </c>
      <c r="S29" s="125">
        <v>55</v>
      </c>
      <c r="T29" s="125">
        <v>55</v>
      </c>
      <c r="U29" s="125">
        <f t="shared" si="10"/>
        <v>660</v>
      </c>
      <c r="V29" s="44"/>
    </row>
    <row r="30" spans="1:22" x14ac:dyDescent="0.35">
      <c r="A30" s="6"/>
      <c r="B30" s="6"/>
      <c r="C30" s="6"/>
      <c r="D30" s="6"/>
      <c r="E30" s="6"/>
      <c r="F30" s="6" t="s">
        <v>28</v>
      </c>
      <c r="G30" s="6"/>
      <c r="H30" s="6"/>
      <c r="I30" s="121">
        <f>ROUND(SUM(I22:I29),5)</f>
        <v>3622.85</v>
      </c>
      <c r="J30" s="121">
        <f>ROUND(SUM(J22:J29),5)</f>
        <v>4497.99</v>
      </c>
      <c r="K30" s="121">
        <f>ROUND(SUM(K22:K29),5)</f>
        <v>5412.5</v>
      </c>
      <c r="L30" s="121">
        <f t="shared" ref="L30:Q30" si="12">ROUND(SUM(L22:L29),5)</f>
        <v>5452.4393499999996</v>
      </c>
      <c r="M30" s="121">
        <f t="shared" si="12"/>
        <v>5145.4297299999998</v>
      </c>
      <c r="N30" s="121">
        <f t="shared" si="12"/>
        <v>5235.1007499999996</v>
      </c>
      <c r="O30" s="121">
        <f t="shared" si="12"/>
        <v>6914.67148</v>
      </c>
      <c r="P30" s="121">
        <f t="shared" si="12"/>
        <v>8187.98704</v>
      </c>
      <c r="Q30" s="121">
        <f t="shared" si="12"/>
        <v>9144.6322899999996</v>
      </c>
      <c r="R30" s="121">
        <f>ROUND(SUM(R21:R29),5)</f>
        <v>6311.4653200000002</v>
      </c>
      <c r="S30" s="121">
        <f>ROUND(SUM(S22:S29),5)</f>
        <v>5404.9221100000004</v>
      </c>
      <c r="T30" s="121">
        <f>ROUND(SUM(T22:T29),5)</f>
        <v>5404.9221100000004</v>
      </c>
      <c r="U30" s="121">
        <f t="shared" si="10"/>
        <v>70734.910180000006</v>
      </c>
      <c r="V30" s="44"/>
    </row>
    <row r="31" spans="1:22" x14ac:dyDescent="0.35">
      <c r="A31" s="6"/>
      <c r="B31" s="6"/>
      <c r="C31" s="6"/>
      <c r="D31" s="6"/>
      <c r="E31" s="6"/>
      <c r="F31" s="6" t="s">
        <v>29</v>
      </c>
      <c r="G31" s="6"/>
      <c r="H31" s="6"/>
      <c r="I31" s="121">
        <v>20</v>
      </c>
      <c r="J31" s="121">
        <v>25</v>
      </c>
      <c r="K31" s="121">
        <v>20.71</v>
      </c>
      <c r="L31" s="121">
        <v>300</v>
      </c>
      <c r="M31" s="121">
        <v>500</v>
      </c>
      <c r="N31" s="121">
        <v>600</v>
      </c>
      <c r="O31" s="121">
        <v>600</v>
      </c>
      <c r="P31" s="121">
        <v>600</v>
      </c>
      <c r="Q31" s="121">
        <v>600</v>
      </c>
      <c r="R31" s="121">
        <v>500</v>
      </c>
      <c r="S31" s="121">
        <v>420</v>
      </c>
      <c r="T31" s="121">
        <v>420</v>
      </c>
      <c r="U31" s="121">
        <f t="shared" si="10"/>
        <v>4605.71</v>
      </c>
      <c r="V31" s="44"/>
    </row>
    <row r="32" spans="1:22" x14ac:dyDescent="0.35">
      <c r="A32" s="6"/>
      <c r="B32" s="6"/>
      <c r="C32" s="6"/>
      <c r="D32" s="6"/>
      <c r="E32" s="6"/>
      <c r="F32" s="6" t="s">
        <v>30</v>
      </c>
      <c r="G32" s="6"/>
      <c r="H32" s="6"/>
      <c r="I32" s="121">
        <v>206.76</v>
      </c>
      <c r="J32" s="121">
        <v>13.96</v>
      </c>
      <c r="K32" s="121">
        <v>58.36</v>
      </c>
      <c r="L32" s="121">
        <f t="shared" ref="L32:T32" si="13">+L11*0.0195</f>
        <v>156</v>
      </c>
      <c r="M32" s="121">
        <f t="shared" si="13"/>
        <v>140.4</v>
      </c>
      <c r="N32" s="121">
        <f t="shared" si="13"/>
        <v>124.02</v>
      </c>
      <c r="O32" s="121">
        <f t="shared" si="13"/>
        <v>263.25</v>
      </c>
      <c r="P32" s="121">
        <f t="shared" si="13"/>
        <v>487.5</v>
      </c>
      <c r="Q32" s="121">
        <f t="shared" si="13"/>
        <v>1342.575</v>
      </c>
      <c r="R32" s="121">
        <f t="shared" si="13"/>
        <v>140.4</v>
      </c>
      <c r="S32" s="121">
        <f t="shared" si="13"/>
        <v>196.56</v>
      </c>
      <c r="T32" s="121">
        <f t="shared" si="13"/>
        <v>175.5</v>
      </c>
      <c r="U32" s="121">
        <f t="shared" si="10"/>
        <v>3305.2849999999999</v>
      </c>
      <c r="V32" s="44"/>
    </row>
    <row r="33" spans="1:22" x14ac:dyDescent="0.35">
      <c r="A33" s="6"/>
      <c r="B33" s="6"/>
      <c r="C33" s="6"/>
      <c r="D33" s="6"/>
      <c r="E33" s="6"/>
      <c r="F33" s="6" t="s">
        <v>31</v>
      </c>
      <c r="G33" s="6"/>
      <c r="H33" s="6"/>
      <c r="I33" s="121">
        <v>0</v>
      </c>
      <c r="J33" s="121">
        <v>0</v>
      </c>
      <c r="K33" s="121">
        <v>1121</v>
      </c>
      <c r="L33" s="121">
        <v>0</v>
      </c>
      <c r="M33" s="121">
        <v>0</v>
      </c>
      <c r="N33" s="121">
        <v>0</v>
      </c>
      <c r="O33" s="121">
        <v>2132</v>
      </c>
      <c r="P33" s="121">
        <v>85</v>
      </c>
      <c r="Q33" s="121">
        <v>1393</v>
      </c>
      <c r="R33" s="121">
        <v>0</v>
      </c>
      <c r="S33" s="121"/>
      <c r="T33" s="121"/>
      <c r="U33" s="121">
        <f t="shared" si="10"/>
        <v>4731</v>
      </c>
      <c r="V33" s="44"/>
    </row>
    <row r="34" spans="1:22" x14ac:dyDescent="0.35">
      <c r="A34" s="6"/>
      <c r="B34" s="6"/>
      <c r="C34" s="6"/>
      <c r="D34" s="6"/>
      <c r="E34" s="6"/>
      <c r="F34" s="6" t="s">
        <v>32</v>
      </c>
      <c r="G34" s="6"/>
      <c r="H34" s="6"/>
      <c r="I34" s="121"/>
      <c r="J34" s="121"/>
      <c r="K34" s="122"/>
      <c r="L34" s="121"/>
      <c r="M34" s="121"/>
      <c r="N34" s="121"/>
      <c r="O34" s="121"/>
      <c r="P34" s="121"/>
      <c r="Q34" s="121"/>
      <c r="R34" s="121"/>
      <c r="S34" s="121"/>
      <c r="T34" s="121"/>
      <c r="U34" s="121">
        <f t="shared" si="10"/>
        <v>0</v>
      </c>
      <c r="V34" s="44"/>
    </row>
    <row r="35" spans="1:22" x14ac:dyDescent="0.35">
      <c r="A35" s="6"/>
      <c r="B35" s="6"/>
      <c r="C35" s="6"/>
      <c r="D35" s="6"/>
      <c r="E35" s="6"/>
      <c r="F35" s="6"/>
      <c r="G35" s="6" t="s">
        <v>33</v>
      </c>
      <c r="H35" s="6"/>
      <c r="I35" s="121">
        <v>25</v>
      </c>
      <c r="J35" s="121">
        <v>25</v>
      </c>
      <c r="K35" s="121">
        <v>25</v>
      </c>
      <c r="L35" s="121">
        <v>25</v>
      </c>
      <c r="M35" s="121">
        <v>25</v>
      </c>
      <c r="N35" s="121">
        <v>25</v>
      </c>
      <c r="O35" s="121">
        <v>25</v>
      </c>
      <c r="P35" s="121">
        <v>25</v>
      </c>
      <c r="Q35" s="121">
        <v>25</v>
      </c>
      <c r="R35" s="121">
        <v>25</v>
      </c>
      <c r="S35" s="121">
        <v>25</v>
      </c>
      <c r="T35" s="121">
        <v>25</v>
      </c>
      <c r="U35" s="121">
        <f t="shared" si="10"/>
        <v>300</v>
      </c>
      <c r="V35" s="44"/>
    </row>
    <row r="36" spans="1:22" x14ac:dyDescent="0.35">
      <c r="A36" s="6"/>
      <c r="B36" s="6"/>
      <c r="C36" s="6"/>
      <c r="D36" s="6"/>
      <c r="E36" s="6"/>
      <c r="F36" s="6"/>
      <c r="G36" s="6" t="s">
        <v>141</v>
      </c>
      <c r="H36" s="6" t="s">
        <v>142</v>
      </c>
      <c r="I36" s="121"/>
      <c r="J36" s="121"/>
      <c r="K36" s="121"/>
      <c r="L36" s="121">
        <v>145</v>
      </c>
      <c r="M36" s="121">
        <v>0</v>
      </c>
      <c r="N36" s="121"/>
      <c r="O36" s="121">
        <v>0</v>
      </c>
      <c r="P36" s="121">
        <v>0</v>
      </c>
      <c r="Q36" s="121">
        <v>0</v>
      </c>
      <c r="R36" s="144">
        <v>0</v>
      </c>
      <c r="S36" s="121">
        <v>0</v>
      </c>
      <c r="T36" s="121">
        <v>0</v>
      </c>
      <c r="U36" s="121">
        <f t="shared" si="10"/>
        <v>145</v>
      </c>
      <c r="V36" s="44"/>
    </row>
    <row r="37" spans="1:22" ht="15" thickBot="1" x14ac:dyDescent="0.4">
      <c r="A37" s="6"/>
      <c r="B37" s="6"/>
      <c r="C37" s="6"/>
      <c r="D37" s="6"/>
      <c r="E37" s="6"/>
      <c r="F37" s="6"/>
      <c r="G37" s="6" t="s">
        <v>35</v>
      </c>
      <c r="H37" s="6"/>
      <c r="I37" s="125">
        <v>219</v>
      </c>
      <c r="J37" s="125">
        <v>855.58</v>
      </c>
      <c r="K37" s="125">
        <v>69</v>
      </c>
      <c r="L37" s="125">
        <v>58.94</v>
      </c>
      <c r="M37" s="125">
        <v>240</v>
      </c>
      <c r="N37" s="125">
        <v>0</v>
      </c>
      <c r="O37" s="125">
        <v>69</v>
      </c>
      <c r="P37" s="125">
        <v>69</v>
      </c>
      <c r="Q37" s="125">
        <v>69</v>
      </c>
      <c r="R37" s="125">
        <v>69</v>
      </c>
      <c r="S37" s="125">
        <v>166</v>
      </c>
      <c r="T37" s="125">
        <v>250</v>
      </c>
      <c r="U37" s="125">
        <f t="shared" si="10"/>
        <v>2134.52</v>
      </c>
      <c r="V37" s="44"/>
    </row>
    <row r="38" spans="1:22" x14ac:dyDescent="0.35">
      <c r="A38" s="6"/>
      <c r="B38" s="6"/>
      <c r="C38" s="6"/>
      <c r="D38" s="6"/>
      <c r="E38" s="6"/>
      <c r="F38" s="6" t="s">
        <v>36</v>
      </c>
      <c r="G38" s="6"/>
      <c r="H38" s="6"/>
      <c r="I38" s="121">
        <f>ROUND(SUM(I34:I37),5)</f>
        <v>244</v>
      </c>
      <c r="J38" s="121">
        <f>ROUND(SUM(J34:J37),5)</f>
        <v>880.58</v>
      </c>
      <c r="K38" s="121">
        <f>ROUND(SUM(K34:K37),5)</f>
        <v>94</v>
      </c>
      <c r="L38" s="121">
        <f t="shared" ref="L38:T38" si="14">ROUND(SUM(L34:L37),5)</f>
        <v>228.94</v>
      </c>
      <c r="M38" s="121">
        <f t="shared" si="14"/>
        <v>265</v>
      </c>
      <c r="N38" s="121">
        <f t="shared" si="14"/>
        <v>25</v>
      </c>
      <c r="O38" s="121">
        <f t="shared" si="14"/>
        <v>94</v>
      </c>
      <c r="P38" s="121">
        <f t="shared" si="14"/>
        <v>94</v>
      </c>
      <c r="Q38" s="121">
        <f t="shared" si="14"/>
        <v>94</v>
      </c>
      <c r="R38" s="121">
        <f t="shared" si="14"/>
        <v>94</v>
      </c>
      <c r="S38" s="121">
        <f t="shared" si="14"/>
        <v>191</v>
      </c>
      <c r="T38" s="121">
        <f t="shared" si="14"/>
        <v>275</v>
      </c>
      <c r="U38" s="121">
        <f t="shared" si="10"/>
        <v>2579.52</v>
      </c>
      <c r="V38" s="44"/>
    </row>
    <row r="39" spans="1:22" x14ac:dyDescent="0.35">
      <c r="A39" s="6"/>
      <c r="B39" s="6"/>
      <c r="C39" s="6"/>
      <c r="D39" s="6"/>
      <c r="E39" s="6"/>
      <c r="F39" s="6" t="s">
        <v>37</v>
      </c>
      <c r="G39" s="6"/>
      <c r="H39" s="6"/>
      <c r="I39" s="121">
        <v>5509.97</v>
      </c>
      <c r="J39" s="121">
        <v>5593.37</v>
      </c>
      <c r="K39" s="121">
        <v>5683.37</v>
      </c>
      <c r="L39" s="121">
        <v>5593.37</v>
      </c>
      <c r="M39" s="121">
        <v>5593.37</v>
      </c>
      <c r="N39" s="121">
        <v>5593.37</v>
      </c>
      <c r="O39" s="121">
        <v>5593.37</v>
      </c>
      <c r="P39" s="121">
        <v>5593.37</v>
      </c>
      <c r="Q39" s="121">
        <v>5593.37</v>
      </c>
      <c r="R39" s="121">
        <v>5593.37</v>
      </c>
      <c r="S39" s="121">
        <v>5593.37</v>
      </c>
      <c r="T39" s="121">
        <v>5593.37</v>
      </c>
      <c r="U39" s="121">
        <f t="shared" si="10"/>
        <v>67127.039999999994</v>
      </c>
      <c r="V39" s="44"/>
    </row>
    <row r="40" spans="1:22" x14ac:dyDescent="0.35">
      <c r="A40" s="6"/>
      <c r="B40" s="6"/>
      <c r="C40" s="6"/>
      <c r="D40" s="6"/>
      <c r="E40" s="6"/>
      <c r="F40" s="6" t="s">
        <v>41</v>
      </c>
      <c r="G40" s="6"/>
      <c r="H40" s="6"/>
      <c r="I40" s="121">
        <v>49.33</v>
      </c>
      <c r="J40" s="121">
        <v>0</v>
      </c>
      <c r="K40" s="121">
        <v>10</v>
      </c>
      <c r="L40" s="122">
        <v>130</v>
      </c>
      <c r="M40" s="122">
        <v>10</v>
      </c>
      <c r="N40" s="122">
        <v>10</v>
      </c>
      <c r="O40" s="122">
        <v>130</v>
      </c>
      <c r="P40" s="122">
        <v>10</v>
      </c>
      <c r="Q40" s="122">
        <v>10</v>
      </c>
      <c r="R40" s="122">
        <v>130</v>
      </c>
      <c r="S40" s="122">
        <v>10</v>
      </c>
      <c r="T40" s="122">
        <v>10</v>
      </c>
      <c r="U40" s="121">
        <f t="shared" si="10"/>
        <v>509.33</v>
      </c>
      <c r="V40" s="44"/>
    </row>
    <row r="41" spans="1:22" x14ac:dyDescent="0.35">
      <c r="A41" s="6"/>
      <c r="B41" s="6"/>
      <c r="C41" s="6"/>
      <c r="D41" s="6"/>
      <c r="E41" s="6"/>
      <c r="F41" s="6" t="s">
        <v>43</v>
      </c>
      <c r="G41" s="6"/>
      <c r="H41" s="6"/>
      <c r="I41" s="121">
        <v>93.4</v>
      </c>
      <c r="J41" s="121">
        <v>46.7</v>
      </c>
      <c r="K41" s="121"/>
      <c r="L41" s="133">
        <v>100</v>
      </c>
      <c r="M41" s="133">
        <v>100</v>
      </c>
      <c r="N41" s="133">
        <v>100</v>
      </c>
      <c r="O41" s="133">
        <v>100</v>
      </c>
      <c r="P41" s="133">
        <v>100</v>
      </c>
      <c r="Q41" s="133">
        <v>100</v>
      </c>
      <c r="R41" s="133">
        <v>100</v>
      </c>
      <c r="S41" s="133">
        <v>100</v>
      </c>
      <c r="T41" s="133">
        <v>100</v>
      </c>
      <c r="U41" s="121">
        <f t="shared" si="10"/>
        <v>1040.0999999999999</v>
      </c>
      <c r="V41" s="44"/>
    </row>
    <row r="42" spans="1:22" x14ac:dyDescent="0.35">
      <c r="A42" s="6"/>
      <c r="B42" s="6"/>
      <c r="C42" s="6"/>
      <c r="D42" s="6"/>
      <c r="E42" s="6"/>
      <c r="F42" s="6" t="s">
        <v>44</v>
      </c>
      <c r="G42" s="6"/>
      <c r="H42" s="6"/>
      <c r="I42" s="121"/>
      <c r="J42" s="121"/>
      <c r="K42" s="121"/>
      <c r="L42" s="133"/>
      <c r="M42" s="133"/>
      <c r="N42" s="133"/>
      <c r="O42" s="133"/>
      <c r="P42" s="133"/>
      <c r="Q42" s="133"/>
      <c r="R42" s="133"/>
      <c r="S42" s="133"/>
      <c r="T42" s="133"/>
      <c r="U42" s="121">
        <f t="shared" si="10"/>
        <v>0</v>
      </c>
      <c r="V42" s="44"/>
    </row>
    <row r="43" spans="1:22" x14ac:dyDescent="0.35">
      <c r="A43" s="6"/>
      <c r="B43" s="6"/>
      <c r="C43" s="6"/>
      <c r="D43" s="6"/>
      <c r="E43" s="6"/>
      <c r="F43" s="6"/>
      <c r="G43" s="6" t="s">
        <v>45</v>
      </c>
      <c r="H43" s="6"/>
      <c r="I43" s="121">
        <v>55.85</v>
      </c>
      <c r="J43" s="121">
        <v>65.89</v>
      </c>
      <c r="K43" s="121"/>
      <c r="L43" s="121">
        <v>120</v>
      </c>
      <c r="M43" s="121">
        <v>60</v>
      </c>
      <c r="N43" s="121">
        <v>60</v>
      </c>
      <c r="O43" s="121">
        <v>60</v>
      </c>
      <c r="P43" s="121">
        <v>60</v>
      </c>
      <c r="Q43" s="121">
        <v>60</v>
      </c>
      <c r="R43" s="121">
        <v>60</v>
      </c>
      <c r="S43" s="121">
        <v>60</v>
      </c>
      <c r="T43" s="121">
        <v>60</v>
      </c>
      <c r="U43" s="121">
        <f t="shared" si="10"/>
        <v>721.74</v>
      </c>
      <c r="V43" s="44"/>
    </row>
    <row r="44" spans="1:22" x14ac:dyDescent="0.35">
      <c r="A44" s="6"/>
      <c r="B44" s="6"/>
      <c r="C44" s="6"/>
      <c r="D44" s="6"/>
      <c r="E44" s="6"/>
      <c r="F44" s="6"/>
      <c r="G44" s="6" t="s">
        <v>46</v>
      </c>
      <c r="H44" s="6"/>
      <c r="I44" s="121">
        <v>172.27</v>
      </c>
      <c r="J44" s="121">
        <v>107.41</v>
      </c>
      <c r="K44" s="121">
        <v>205.3</v>
      </c>
      <c r="L44" s="121">
        <v>400</v>
      </c>
      <c r="M44" s="121">
        <v>400</v>
      </c>
      <c r="N44" s="121">
        <v>300</v>
      </c>
      <c r="O44" s="121">
        <v>600</v>
      </c>
      <c r="P44" s="121">
        <v>500</v>
      </c>
      <c r="Q44" s="121">
        <v>200</v>
      </c>
      <c r="R44" s="121">
        <v>200</v>
      </c>
      <c r="S44" s="121">
        <v>200</v>
      </c>
      <c r="T44" s="121">
        <v>200</v>
      </c>
      <c r="U44" s="121">
        <f t="shared" si="10"/>
        <v>3484.98</v>
      </c>
      <c r="V44" s="44"/>
    </row>
    <row r="45" spans="1:22" x14ac:dyDescent="0.35">
      <c r="A45" s="6"/>
      <c r="B45" s="6"/>
      <c r="C45" s="6"/>
      <c r="D45" s="6"/>
      <c r="E45" s="6"/>
      <c r="F45" s="6"/>
      <c r="G45" s="6" t="s">
        <v>47</v>
      </c>
      <c r="H45" s="6"/>
      <c r="I45" s="121">
        <v>83.09</v>
      </c>
      <c r="J45" s="121">
        <v>0</v>
      </c>
      <c r="K45" s="121">
        <v>100.04</v>
      </c>
      <c r="L45" s="121">
        <v>49.92</v>
      </c>
      <c r="M45" s="121">
        <v>0</v>
      </c>
      <c r="N45" s="121">
        <v>50</v>
      </c>
      <c r="O45" s="121">
        <v>49.92</v>
      </c>
      <c r="P45" s="121">
        <v>124.25</v>
      </c>
      <c r="Q45" s="121">
        <v>200</v>
      </c>
      <c r="R45" s="121">
        <v>200</v>
      </c>
      <c r="S45" s="121">
        <v>200</v>
      </c>
      <c r="T45" s="121">
        <v>200</v>
      </c>
      <c r="U45" s="121">
        <f t="shared" si="10"/>
        <v>1257.22</v>
      </c>
      <c r="V45" s="44"/>
    </row>
    <row r="46" spans="1:22" x14ac:dyDescent="0.35">
      <c r="A46" s="6"/>
      <c r="B46" s="6"/>
      <c r="C46" s="6"/>
      <c r="D46" s="6"/>
      <c r="E46" s="6"/>
      <c r="F46" s="6"/>
      <c r="G46" s="6" t="s">
        <v>49</v>
      </c>
      <c r="H46" s="6"/>
      <c r="I46" s="121">
        <v>59.95</v>
      </c>
      <c r="J46" s="121">
        <v>59.95</v>
      </c>
      <c r="K46" s="121">
        <v>0</v>
      </c>
      <c r="L46" s="121">
        <v>9.75</v>
      </c>
      <c r="M46" s="121">
        <v>5.5</v>
      </c>
      <c r="N46" s="121">
        <v>6</v>
      </c>
      <c r="O46" s="121">
        <v>2.77</v>
      </c>
      <c r="P46" s="121">
        <v>4.55</v>
      </c>
      <c r="Q46" s="121">
        <v>5.2</v>
      </c>
      <c r="R46" s="121">
        <v>5.04</v>
      </c>
      <c r="S46" s="121">
        <v>15</v>
      </c>
      <c r="T46" s="121">
        <v>15</v>
      </c>
      <c r="U46" s="121">
        <f t="shared" si="10"/>
        <v>188.71</v>
      </c>
      <c r="V46" s="44"/>
    </row>
    <row r="47" spans="1:22" ht="15" thickBot="1" x14ac:dyDescent="0.4">
      <c r="A47" s="6"/>
      <c r="B47" s="6"/>
      <c r="C47" s="6"/>
      <c r="D47" s="6"/>
      <c r="E47" s="6"/>
      <c r="F47" s="6"/>
      <c r="G47" s="6" t="s">
        <v>50</v>
      </c>
      <c r="H47" s="6"/>
      <c r="I47" s="125">
        <v>0</v>
      </c>
      <c r="J47" s="125">
        <v>0</v>
      </c>
      <c r="K47" s="125">
        <f>ROUND(SUM(G47:J47),5)</f>
        <v>0</v>
      </c>
      <c r="L47" s="125">
        <v>100</v>
      </c>
      <c r="M47" s="125">
        <v>59.95</v>
      </c>
      <c r="N47" s="125">
        <v>60</v>
      </c>
      <c r="O47" s="125">
        <v>62.69</v>
      </c>
      <c r="P47" s="125">
        <v>61.53</v>
      </c>
      <c r="Q47" s="125">
        <v>59.95</v>
      </c>
      <c r="R47" s="125">
        <v>62.53</v>
      </c>
      <c r="S47" s="125">
        <v>60</v>
      </c>
      <c r="T47" s="125">
        <v>60</v>
      </c>
      <c r="U47" s="125">
        <f t="shared" si="10"/>
        <v>586.65</v>
      </c>
      <c r="V47" s="44"/>
    </row>
    <row r="48" spans="1:22" x14ac:dyDescent="0.35">
      <c r="A48" s="6"/>
      <c r="B48" s="6"/>
      <c r="C48" s="6"/>
      <c r="D48" s="6"/>
      <c r="E48" s="6"/>
      <c r="F48" s="6" t="s">
        <v>51</v>
      </c>
      <c r="G48" s="6"/>
      <c r="H48" s="6"/>
      <c r="I48" s="121">
        <f>ROUND(SUM(I42:I47),5)</f>
        <v>371.16</v>
      </c>
      <c r="J48" s="121">
        <f>ROUND(SUM(J42:J47),5)</f>
        <v>233.25</v>
      </c>
      <c r="K48" s="121">
        <f>ROUND(SUM(K42:K47),5)</f>
        <v>305.33999999999997</v>
      </c>
      <c r="L48" s="121">
        <f t="shared" ref="L48:T48" si="15">ROUND(SUM(L42:L47),5)</f>
        <v>679.67</v>
      </c>
      <c r="M48" s="121">
        <f t="shared" si="15"/>
        <v>525.45000000000005</v>
      </c>
      <c r="N48" s="121">
        <f t="shared" si="15"/>
        <v>476</v>
      </c>
      <c r="O48" s="121">
        <f t="shared" si="15"/>
        <v>775.38</v>
      </c>
      <c r="P48" s="121">
        <f t="shared" si="15"/>
        <v>750.33</v>
      </c>
      <c r="Q48" s="121">
        <f t="shared" si="15"/>
        <v>525.15</v>
      </c>
      <c r="R48" s="121">
        <f t="shared" si="15"/>
        <v>527.57000000000005</v>
      </c>
      <c r="S48" s="121">
        <f t="shared" si="15"/>
        <v>535</v>
      </c>
      <c r="T48" s="121">
        <f t="shared" si="15"/>
        <v>535</v>
      </c>
      <c r="U48" s="121">
        <f t="shared" si="10"/>
        <v>6239.3</v>
      </c>
      <c r="V48" s="44"/>
    </row>
    <row r="49" spans="1:22" x14ac:dyDescent="0.35">
      <c r="A49" s="6"/>
      <c r="B49" s="6"/>
      <c r="C49" s="6"/>
      <c r="D49" s="6"/>
      <c r="E49" s="6"/>
      <c r="F49" s="6" t="s">
        <v>53</v>
      </c>
      <c r="G49" s="6"/>
      <c r="H49" s="6"/>
      <c r="I49" s="121"/>
      <c r="J49" s="121"/>
      <c r="K49" s="121"/>
      <c r="L49" s="121"/>
      <c r="M49" s="122"/>
      <c r="N49" s="122"/>
      <c r="O49" s="122"/>
      <c r="P49" s="122"/>
      <c r="Q49" s="122"/>
      <c r="R49" s="122"/>
      <c r="S49" s="122"/>
      <c r="T49" s="122"/>
      <c r="U49" s="121">
        <f t="shared" si="10"/>
        <v>0</v>
      </c>
      <c r="V49" s="44"/>
    </row>
    <row r="50" spans="1:22" x14ac:dyDescent="0.35">
      <c r="A50" s="6"/>
      <c r="B50" s="6"/>
      <c r="C50" s="6"/>
      <c r="D50" s="6"/>
      <c r="E50" s="6"/>
      <c r="G50" s="6" t="s">
        <v>143</v>
      </c>
      <c r="H50" s="6"/>
      <c r="I50" s="7">
        <v>0</v>
      </c>
      <c r="J50" s="7">
        <v>0</v>
      </c>
      <c r="K50" s="7">
        <v>0</v>
      </c>
      <c r="L50" s="7">
        <v>100</v>
      </c>
      <c r="M50" s="7">
        <v>100</v>
      </c>
      <c r="N50" s="7">
        <v>100</v>
      </c>
      <c r="O50" s="7">
        <v>100</v>
      </c>
      <c r="P50" s="7">
        <v>100</v>
      </c>
      <c r="Q50" s="7">
        <v>100</v>
      </c>
      <c r="R50" s="7">
        <v>100</v>
      </c>
      <c r="S50" s="7">
        <v>100</v>
      </c>
      <c r="T50" s="7">
        <v>100</v>
      </c>
      <c r="U50" s="121">
        <f t="shared" si="10"/>
        <v>900</v>
      </c>
      <c r="V50" s="44"/>
    </row>
    <row r="51" spans="1:22" x14ac:dyDescent="0.35">
      <c r="A51" s="6"/>
      <c r="B51" s="6"/>
      <c r="C51" s="6"/>
      <c r="D51" s="6"/>
      <c r="E51" s="6"/>
      <c r="F51" s="6"/>
      <c r="G51" s="6" t="s">
        <v>144</v>
      </c>
      <c r="H51" s="6"/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7">
        <v>0</v>
      </c>
      <c r="Q51" s="7">
        <v>20</v>
      </c>
      <c r="R51" s="7">
        <v>6</v>
      </c>
      <c r="S51" s="7">
        <v>0</v>
      </c>
      <c r="T51" s="7">
        <v>0</v>
      </c>
      <c r="U51" s="121"/>
      <c r="V51" s="44"/>
    </row>
    <row r="52" spans="1:22" x14ac:dyDescent="0.35">
      <c r="A52" s="6"/>
      <c r="B52" s="6"/>
      <c r="C52" s="6"/>
      <c r="D52" s="6"/>
      <c r="E52" s="6"/>
      <c r="F52" s="6"/>
      <c r="G52" s="6" t="s">
        <v>145</v>
      </c>
      <c r="H52" s="6"/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172.45</v>
      </c>
      <c r="P52" s="7">
        <v>0</v>
      </c>
      <c r="Q52" s="7">
        <v>0</v>
      </c>
      <c r="R52" s="7">
        <v>0</v>
      </c>
      <c r="S52" s="7">
        <v>0</v>
      </c>
      <c r="T52" s="7">
        <v>0</v>
      </c>
      <c r="U52" s="121"/>
      <c r="V52" s="44"/>
    </row>
    <row r="53" spans="1:22" x14ac:dyDescent="0.35">
      <c r="A53" s="6"/>
      <c r="B53" s="6"/>
      <c r="C53" s="6"/>
      <c r="D53" s="6"/>
      <c r="E53" s="6"/>
      <c r="F53" s="6"/>
      <c r="G53" s="6" t="s">
        <v>146</v>
      </c>
      <c r="H53" s="6"/>
      <c r="I53" s="7">
        <v>0</v>
      </c>
      <c r="J53" s="7"/>
      <c r="K53" s="7">
        <v>0</v>
      </c>
      <c r="L53" s="7">
        <v>0</v>
      </c>
      <c r="M53" s="7">
        <v>0</v>
      </c>
      <c r="N53" s="7">
        <v>0</v>
      </c>
      <c r="O53" s="7">
        <v>0</v>
      </c>
      <c r="P53" s="7">
        <v>0</v>
      </c>
      <c r="Q53" s="7">
        <v>0</v>
      </c>
      <c r="R53" s="7">
        <v>0</v>
      </c>
      <c r="S53" s="7">
        <v>0</v>
      </c>
      <c r="T53" s="7">
        <v>0</v>
      </c>
      <c r="U53" s="121"/>
      <c r="V53" s="44"/>
    </row>
    <row r="54" spans="1:22" x14ac:dyDescent="0.35">
      <c r="A54" s="6"/>
      <c r="B54" s="6"/>
      <c r="C54" s="6"/>
      <c r="D54" s="6"/>
      <c r="E54" s="6"/>
      <c r="F54" s="6"/>
      <c r="G54" s="6" t="s">
        <v>147</v>
      </c>
      <c r="H54" s="6"/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7">
        <v>0</v>
      </c>
      <c r="Q54" s="7">
        <v>0</v>
      </c>
      <c r="R54" s="7">
        <v>0</v>
      </c>
      <c r="S54" s="7">
        <v>0</v>
      </c>
      <c r="T54" s="7">
        <v>0</v>
      </c>
      <c r="U54" s="121">
        <f t="shared" si="10"/>
        <v>0</v>
      </c>
      <c r="V54" s="44"/>
    </row>
    <row r="55" spans="1:22" x14ac:dyDescent="0.35">
      <c r="A55" s="6"/>
      <c r="B55" s="6"/>
      <c r="C55" s="6"/>
      <c r="D55" s="6"/>
      <c r="E55" s="6"/>
      <c r="F55" s="6"/>
      <c r="G55" s="6" t="s">
        <v>148</v>
      </c>
      <c r="H55" s="6"/>
      <c r="I55" s="7">
        <v>0</v>
      </c>
      <c r="J55" s="7">
        <v>0</v>
      </c>
      <c r="K55" s="7">
        <v>0</v>
      </c>
      <c r="L55" s="7">
        <v>10</v>
      </c>
      <c r="M55" s="7">
        <v>10</v>
      </c>
      <c r="N55" s="7">
        <v>10</v>
      </c>
      <c r="O55" s="7">
        <v>10</v>
      </c>
      <c r="P55" s="7">
        <v>10</v>
      </c>
      <c r="Q55" s="7">
        <v>10</v>
      </c>
      <c r="R55" s="7">
        <v>10</v>
      </c>
      <c r="S55" s="7">
        <v>10</v>
      </c>
      <c r="T55" s="7">
        <v>10</v>
      </c>
      <c r="U55" s="121">
        <f t="shared" si="10"/>
        <v>90</v>
      </c>
      <c r="V55" s="44"/>
    </row>
    <row r="56" spans="1:22" x14ac:dyDescent="0.35">
      <c r="A56" s="6"/>
      <c r="B56" s="6"/>
      <c r="C56" s="6"/>
      <c r="D56" s="6"/>
      <c r="E56" s="6"/>
      <c r="F56" s="6"/>
      <c r="G56" s="6" t="s">
        <v>149</v>
      </c>
      <c r="H56" s="6"/>
      <c r="I56" s="7">
        <v>0</v>
      </c>
      <c r="J56" s="7">
        <v>0</v>
      </c>
      <c r="K56" s="7">
        <v>0</v>
      </c>
      <c r="L56" s="7">
        <v>0</v>
      </c>
      <c r="M56" s="7">
        <v>0</v>
      </c>
      <c r="N56" s="7">
        <v>0</v>
      </c>
      <c r="O56" s="7">
        <v>0</v>
      </c>
      <c r="P56" s="7">
        <v>0</v>
      </c>
      <c r="Q56" s="7">
        <v>0</v>
      </c>
      <c r="R56" s="7">
        <v>0</v>
      </c>
      <c r="S56" s="7">
        <v>0</v>
      </c>
      <c r="T56" s="7">
        <v>0</v>
      </c>
      <c r="U56" s="121">
        <f t="shared" si="10"/>
        <v>0</v>
      </c>
      <c r="V56" s="44"/>
    </row>
    <row r="57" spans="1:22" x14ac:dyDescent="0.35">
      <c r="A57" s="6"/>
      <c r="B57" s="6"/>
      <c r="C57" s="6"/>
      <c r="D57" s="6"/>
      <c r="E57" s="6"/>
      <c r="F57" s="6"/>
      <c r="G57" s="6" t="s">
        <v>61</v>
      </c>
      <c r="H57" s="6"/>
      <c r="I57" s="7">
        <v>0</v>
      </c>
      <c r="J57" s="7">
        <v>0</v>
      </c>
      <c r="K57" s="7">
        <v>41</v>
      </c>
      <c r="L57" s="7">
        <v>0</v>
      </c>
      <c r="M57" s="7">
        <v>40</v>
      </c>
      <c r="N57" s="7">
        <v>200</v>
      </c>
      <c r="O57" s="7">
        <v>69.69</v>
      </c>
      <c r="P57" s="7">
        <v>0</v>
      </c>
      <c r="Q57" s="7">
        <v>0</v>
      </c>
      <c r="R57" s="7">
        <v>0</v>
      </c>
      <c r="S57" s="7">
        <v>100</v>
      </c>
      <c r="T57" s="7">
        <v>0</v>
      </c>
      <c r="U57" s="121">
        <f t="shared" si="10"/>
        <v>450.69</v>
      </c>
      <c r="V57" s="44"/>
    </row>
    <row r="58" spans="1:22" ht="15" thickBot="1" x14ac:dyDescent="0.4">
      <c r="A58" s="6"/>
      <c r="B58" s="6"/>
      <c r="C58" s="6"/>
      <c r="D58" s="6"/>
      <c r="E58" s="6"/>
      <c r="F58" s="6"/>
      <c r="G58" s="6" t="s">
        <v>134</v>
      </c>
      <c r="H58" s="6"/>
      <c r="I58" s="10"/>
      <c r="J58" s="10"/>
      <c r="K58" s="10"/>
      <c r="L58" s="10"/>
      <c r="M58" s="10"/>
      <c r="N58" s="10">
        <v>500</v>
      </c>
      <c r="O58" s="10">
        <v>0</v>
      </c>
      <c r="P58" s="10">
        <v>0</v>
      </c>
      <c r="Q58" s="10">
        <v>500</v>
      </c>
      <c r="R58" s="10">
        <v>0</v>
      </c>
      <c r="S58" s="10">
        <v>0</v>
      </c>
      <c r="T58" s="10">
        <v>0</v>
      </c>
      <c r="U58" s="125">
        <f t="shared" si="10"/>
        <v>1000</v>
      </c>
      <c r="V58" s="44"/>
    </row>
    <row r="59" spans="1:22" x14ac:dyDescent="0.35">
      <c r="A59" s="6"/>
      <c r="B59" s="6"/>
      <c r="C59" s="6"/>
      <c r="D59" s="6"/>
      <c r="E59" s="6"/>
      <c r="F59" s="6" t="s">
        <v>64</v>
      </c>
      <c r="G59" s="6"/>
      <c r="H59" s="6"/>
      <c r="I59" s="121">
        <f>ROUND(SUM(I49:I58),5)</f>
        <v>0</v>
      </c>
      <c r="J59" s="121">
        <f>ROUND(SUM(J49:J58),5)</f>
        <v>0</v>
      </c>
      <c r="K59" s="121">
        <f>ROUND(SUM(K49:K58),5)</f>
        <v>41</v>
      </c>
      <c r="L59" s="121">
        <f>ROUND(SUM(L49:L58),5)</f>
        <v>110</v>
      </c>
      <c r="M59" s="121">
        <f t="shared" ref="M59:T59" si="16">ROUND(SUM(M49:M58),5)</f>
        <v>150</v>
      </c>
      <c r="N59" s="121">
        <f t="shared" si="16"/>
        <v>810</v>
      </c>
      <c r="O59" s="121">
        <f t="shared" si="16"/>
        <v>352.14</v>
      </c>
      <c r="P59" s="121">
        <f t="shared" si="16"/>
        <v>110</v>
      </c>
      <c r="Q59" s="121">
        <f t="shared" si="16"/>
        <v>630</v>
      </c>
      <c r="R59" s="121">
        <f t="shared" si="16"/>
        <v>116</v>
      </c>
      <c r="S59" s="121">
        <f t="shared" si="16"/>
        <v>210</v>
      </c>
      <c r="T59" s="121">
        <f t="shared" si="16"/>
        <v>110</v>
      </c>
      <c r="U59" s="121">
        <f t="shared" si="10"/>
        <v>2639.14</v>
      </c>
      <c r="V59" s="44"/>
    </row>
    <row r="60" spans="1:22" s="118" customFormat="1" x14ac:dyDescent="0.35">
      <c r="A60" s="19"/>
      <c r="B60" s="19"/>
      <c r="C60" s="19"/>
      <c r="D60" s="19"/>
      <c r="E60" s="19" t="s">
        <v>135</v>
      </c>
      <c r="F60" s="19"/>
      <c r="G60" s="19"/>
      <c r="H60" s="19"/>
      <c r="I60" s="126">
        <f>SUM(I48+I41+I40+I30+I22+I31+I32+I38+I39)</f>
        <v>10117.470000000001</v>
      </c>
      <c r="J60" s="126">
        <f>SUM(J48+J41+J40+J30+J22+J31+J32+J38+J39)</f>
        <v>11290.849999999999</v>
      </c>
      <c r="K60" s="126">
        <f>SUM(K48+K41+K40+K30+K33+K31+K32+K38+K39+K59)</f>
        <v>12746.279999999999</v>
      </c>
      <c r="L60" s="126">
        <f>SUM(L48+L41+L40+L30+L33+L31+L32+L38+L39+L59)</f>
        <v>12750.41935</v>
      </c>
      <c r="M60" s="126">
        <f t="shared" ref="M60:T60" si="17">SUM(M48+M41+M40+M30+M33+M31+M32+M38+M39+M59)</f>
        <v>12429.649729999999</v>
      </c>
      <c r="N60" s="126">
        <f t="shared" si="17"/>
        <v>12973.490750000001</v>
      </c>
      <c r="O60" s="126">
        <f t="shared" si="17"/>
        <v>16954.81148</v>
      </c>
      <c r="P60" s="126">
        <f t="shared" si="17"/>
        <v>16018.187040000001</v>
      </c>
      <c r="Q60" s="126">
        <f t="shared" si="17"/>
        <v>19432.727289999999</v>
      </c>
      <c r="R60" s="126">
        <f t="shared" si="17"/>
        <v>13512.805319999999</v>
      </c>
      <c r="S60" s="126">
        <f t="shared" si="17"/>
        <v>12660.85211</v>
      </c>
      <c r="T60" s="126">
        <f t="shared" si="17"/>
        <v>12623.79211</v>
      </c>
      <c r="U60" s="126">
        <f t="shared" si="10"/>
        <v>163511.33517999999</v>
      </c>
      <c r="V60" s="119"/>
    </row>
    <row r="61" spans="1:22" x14ac:dyDescent="0.35">
      <c r="A61" s="6"/>
      <c r="B61" s="6"/>
      <c r="C61" s="6"/>
      <c r="D61" s="6"/>
      <c r="E61" s="6"/>
      <c r="F61" s="6" t="s">
        <v>65</v>
      </c>
      <c r="G61" s="6"/>
      <c r="H61" s="6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44"/>
    </row>
    <row r="62" spans="1:22" x14ac:dyDescent="0.35">
      <c r="A62" s="6"/>
      <c r="B62" s="6"/>
      <c r="C62" s="6"/>
      <c r="D62" s="6"/>
      <c r="E62" s="6"/>
      <c r="F62" s="6"/>
      <c r="G62" s="6" t="s">
        <v>66</v>
      </c>
      <c r="H62" s="6"/>
      <c r="I62" s="121"/>
      <c r="J62" s="121"/>
      <c r="K62" s="122"/>
      <c r="L62" s="122"/>
      <c r="M62" s="122"/>
      <c r="N62" s="122"/>
      <c r="O62" s="122"/>
      <c r="P62" s="122"/>
      <c r="Q62" s="122"/>
      <c r="R62" s="122"/>
      <c r="S62" s="122"/>
      <c r="T62" s="122"/>
      <c r="U62" s="121"/>
      <c r="V62" s="44"/>
    </row>
    <row r="63" spans="1:22" x14ac:dyDescent="0.35">
      <c r="A63" s="6"/>
      <c r="B63" s="6"/>
      <c r="C63" s="6"/>
      <c r="D63" s="6"/>
      <c r="E63" s="6"/>
      <c r="F63" s="6"/>
      <c r="G63" s="6"/>
      <c r="H63" s="6" t="s">
        <v>154</v>
      </c>
      <c r="I63" s="121"/>
      <c r="J63" s="121"/>
      <c r="K63" s="122"/>
      <c r="L63" s="133">
        <v>-5000</v>
      </c>
      <c r="M63" s="122"/>
      <c r="N63" s="122"/>
      <c r="O63" s="122"/>
      <c r="P63" s="122"/>
      <c r="Q63" s="122"/>
      <c r="R63" s="122"/>
      <c r="S63" s="122"/>
      <c r="T63" s="122"/>
      <c r="U63" s="121">
        <f t="shared" ref="U63:U72" si="18">ROUND(SUM(I63:T63),5)</f>
        <v>-5000</v>
      </c>
      <c r="V63" s="44"/>
    </row>
    <row r="64" spans="1:22" x14ac:dyDescent="0.35">
      <c r="A64" s="6"/>
      <c r="B64" s="6"/>
      <c r="C64" s="6"/>
      <c r="D64" s="6"/>
      <c r="E64" s="6"/>
      <c r="F64" s="6"/>
      <c r="G64" s="6"/>
      <c r="H64" s="6" t="s">
        <v>67</v>
      </c>
      <c r="I64" s="121">
        <v>-2000</v>
      </c>
      <c r="J64" s="121">
        <v>-1555.19</v>
      </c>
      <c r="K64" s="121">
        <v>-14486.62</v>
      </c>
      <c r="L64" s="134">
        <v>-300</v>
      </c>
      <c r="M64" s="134">
        <v>-201.5</v>
      </c>
      <c r="N64" s="134">
        <v>-173</v>
      </c>
      <c r="O64" s="134">
        <v>-215</v>
      </c>
      <c r="P64" s="134">
        <v>-296.06</v>
      </c>
      <c r="Q64" s="134">
        <v>-545.61</v>
      </c>
      <c r="R64" s="134">
        <v>-299.39999999999998</v>
      </c>
      <c r="S64" s="134">
        <v>-300</v>
      </c>
      <c r="T64" s="134">
        <v>-300</v>
      </c>
      <c r="U64" s="121">
        <f t="shared" si="18"/>
        <v>-20672.38</v>
      </c>
      <c r="V64" s="44"/>
    </row>
    <row r="65" spans="1:38" ht="15" thickBot="1" x14ac:dyDescent="0.4">
      <c r="A65" s="6"/>
      <c r="B65" s="6"/>
      <c r="C65" s="6"/>
      <c r="D65" s="6"/>
      <c r="E65" s="6"/>
      <c r="F65" s="6"/>
      <c r="G65" s="6"/>
      <c r="H65" s="6" t="s">
        <v>68</v>
      </c>
      <c r="I65" s="125">
        <v>0</v>
      </c>
      <c r="J65" s="125">
        <v>-50.57</v>
      </c>
      <c r="K65" s="125">
        <v>0</v>
      </c>
      <c r="L65" s="135">
        <v>-17.829999999999998</v>
      </c>
      <c r="M65" s="135">
        <v>-24.52</v>
      </c>
      <c r="N65" s="135">
        <v>-90</v>
      </c>
      <c r="O65" s="135">
        <v>0</v>
      </c>
      <c r="P65" s="135">
        <v>-13.52</v>
      </c>
      <c r="Q65" s="135">
        <v>-2500</v>
      </c>
      <c r="R65" s="135">
        <v>-100</v>
      </c>
      <c r="S65" s="135">
        <v>-100</v>
      </c>
      <c r="T65" s="135">
        <v>0</v>
      </c>
      <c r="U65" s="125">
        <f t="shared" si="18"/>
        <v>-2896.44</v>
      </c>
      <c r="V65" s="44"/>
    </row>
    <row r="66" spans="1:38" x14ac:dyDescent="0.35">
      <c r="A66" s="6"/>
      <c r="B66" s="6"/>
      <c r="C66" s="6"/>
      <c r="D66" s="6"/>
      <c r="E66" s="6"/>
      <c r="F66" s="6"/>
      <c r="G66" s="6" t="s">
        <v>69</v>
      </c>
      <c r="H66" s="6"/>
      <c r="I66" s="121">
        <f>ROUND(SUM(I62:I65),5)</f>
        <v>-2000</v>
      </c>
      <c r="J66" s="121">
        <f>ROUND(SUM(J62:J65),5)</f>
        <v>-1605.76</v>
      </c>
      <c r="K66" s="121">
        <f>ROUND(SUM(K61:K65),5)</f>
        <v>-14486.62</v>
      </c>
      <c r="L66" s="121">
        <f>ROUND(SUM(L61:L65),5)</f>
        <v>-5317.83</v>
      </c>
      <c r="M66" s="121">
        <f t="shared" ref="M66:T66" si="19">ROUND(SUM(M61:M65),5)</f>
        <v>-226.02</v>
      </c>
      <c r="N66" s="121">
        <f t="shared" si="19"/>
        <v>-263</v>
      </c>
      <c r="O66" s="121">
        <f t="shared" si="19"/>
        <v>-215</v>
      </c>
      <c r="P66" s="121">
        <f t="shared" si="19"/>
        <v>-309.58</v>
      </c>
      <c r="Q66" s="121">
        <f t="shared" si="19"/>
        <v>-3045.61</v>
      </c>
      <c r="R66" s="121">
        <f t="shared" si="19"/>
        <v>-399.4</v>
      </c>
      <c r="S66" s="121">
        <f t="shared" si="19"/>
        <v>-400</v>
      </c>
      <c r="T66" s="121">
        <f t="shared" si="19"/>
        <v>-300</v>
      </c>
      <c r="U66" s="121">
        <f t="shared" si="18"/>
        <v>-28568.82</v>
      </c>
      <c r="V66" s="44"/>
    </row>
    <row r="67" spans="1:38" ht="15" thickBot="1" x14ac:dyDescent="0.4">
      <c r="A67" s="6"/>
      <c r="B67" s="6"/>
      <c r="C67" s="6"/>
      <c r="D67" s="6"/>
      <c r="E67" s="6"/>
      <c r="F67" s="6"/>
      <c r="G67" s="6" t="s">
        <v>70</v>
      </c>
      <c r="H67" s="6"/>
      <c r="I67" s="121">
        <v>-0.23</v>
      </c>
      <c r="J67" s="121">
        <v>-0.13</v>
      </c>
      <c r="K67" s="121">
        <v>-0.12</v>
      </c>
      <c r="L67" s="121">
        <v>-0.12</v>
      </c>
      <c r="M67" s="121">
        <v>-0.12</v>
      </c>
      <c r="N67" s="121">
        <v>-0.12</v>
      </c>
      <c r="O67" s="121">
        <v>-0.12</v>
      </c>
      <c r="P67" s="121">
        <v>-0.12</v>
      </c>
      <c r="Q67" s="121">
        <v>-0.12</v>
      </c>
      <c r="R67" s="121">
        <v>-0.12</v>
      </c>
      <c r="S67" s="121">
        <v>-0.12</v>
      </c>
      <c r="T67" s="121">
        <v>-0.12</v>
      </c>
      <c r="U67" s="121">
        <f t="shared" si="18"/>
        <v>-1.56</v>
      </c>
      <c r="V67" s="44"/>
    </row>
    <row r="68" spans="1:38" ht="15" thickBot="1" x14ac:dyDescent="0.4">
      <c r="A68" s="6"/>
      <c r="B68" s="6"/>
      <c r="C68" s="6"/>
      <c r="D68" s="6"/>
      <c r="E68" s="6"/>
      <c r="F68" s="6" t="s">
        <v>71</v>
      </c>
      <c r="G68" s="6"/>
      <c r="H68" s="6"/>
      <c r="I68" s="124">
        <f>ROUND(I61+SUM(I66:I67),5)</f>
        <v>-2000.23</v>
      </c>
      <c r="J68" s="124">
        <f>ROUND(J61+SUM(J66:J67),5)</f>
        <v>-1605.89</v>
      </c>
      <c r="K68" s="124">
        <f>SUM(K66:K67)</f>
        <v>-14486.740000000002</v>
      </c>
      <c r="L68" s="124">
        <f>SUM(L66:L67)</f>
        <v>-5317.95</v>
      </c>
      <c r="M68" s="124">
        <f t="shared" ref="M68:T68" si="20">SUM(M66:M67)</f>
        <v>-226.14000000000001</v>
      </c>
      <c r="N68" s="124">
        <f t="shared" si="20"/>
        <v>-263.12</v>
      </c>
      <c r="O68" s="124">
        <f t="shared" si="20"/>
        <v>-215.12</v>
      </c>
      <c r="P68" s="124">
        <f t="shared" si="20"/>
        <v>-309.7</v>
      </c>
      <c r="Q68" s="124">
        <f t="shared" si="20"/>
        <v>-3045.73</v>
      </c>
      <c r="R68" s="124">
        <f t="shared" si="20"/>
        <v>-399.52</v>
      </c>
      <c r="S68" s="124">
        <f t="shared" si="20"/>
        <v>-400.12</v>
      </c>
      <c r="T68" s="124">
        <f t="shared" si="20"/>
        <v>-300.12</v>
      </c>
      <c r="U68" s="124">
        <f t="shared" si="18"/>
        <v>-28570.38</v>
      </c>
      <c r="V68" s="44"/>
    </row>
    <row r="69" spans="1:38" ht="15" thickBot="1" x14ac:dyDescent="0.4">
      <c r="A69" s="6"/>
      <c r="B69" s="6"/>
      <c r="C69" s="6"/>
      <c r="D69" s="6"/>
      <c r="E69" s="6" t="s">
        <v>72</v>
      </c>
      <c r="F69" s="6"/>
      <c r="G69" s="6"/>
      <c r="H69" s="6"/>
      <c r="I69" s="124">
        <f>ROUND(I21+SUM(I30:I32)+SUM(I38:I41)+I48+I68,5)</f>
        <v>8117.24</v>
      </c>
      <c r="J69" s="124">
        <f>ROUND(J21+SUM(J30:J32)+SUM(J38:J41)+J48+J68,5)</f>
        <v>9684.9599999999991</v>
      </c>
      <c r="K69" s="124">
        <f>ROUND(K21+SUM(K30:K33)+SUM(K38:K41)+K48+K59+K68,5)</f>
        <v>-1740.46</v>
      </c>
      <c r="L69" s="124">
        <f>ROUND(L21+SUM(L30:L33)+SUM(L38:L41)+L48+L59+L68,5)</f>
        <v>7432.4693500000003</v>
      </c>
      <c r="M69" s="124">
        <f t="shared" ref="M69:T69" si="21">ROUND(M21+SUM(M30:M33)+SUM(M38:M41)+M48+M59+M68,5)</f>
        <v>12203.50973</v>
      </c>
      <c r="N69" s="124">
        <f t="shared" si="21"/>
        <v>12710.37075</v>
      </c>
      <c r="O69" s="124">
        <f t="shared" si="21"/>
        <v>16739.691480000001</v>
      </c>
      <c r="P69" s="124">
        <f t="shared" si="21"/>
        <v>15708.48704</v>
      </c>
      <c r="Q69" s="124">
        <f t="shared" si="21"/>
        <v>16386.997289999999</v>
      </c>
      <c r="R69" s="124">
        <f t="shared" si="21"/>
        <v>13113.285320000001</v>
      </c>
      <c r="S69" s="124">
        <f t="shared" si="21"/>
        <v>12260.732110000001</v>
      </c>
      <c r="T69" s="124">
        <f t="shared" si="21"/>
        <v>12323.67211</v>
      </c>
      <c r="U69" s="124">
        <f t="shared" si="18"/>
        <v>134940.95517999999</v>
      </c>
      <c r="V69" s="44"/>
    </row>
    <row r="70" spans="1:38" ht="15" thickBot="1" x14ac:dyDescent="0.4">
      <c r="A70" s="6"/>
      <c r="B70" s="6"/>
      <c r="C70" s="6"/>
      <c r="D70" s="6" t="s">
        <v>122</v>
      </c>
      <c r="E70" s="6"/>
      <c r="F70" s="6"/>
      <c r="G70" s="6"/>
      <c r="H70" s="6"/>
      <c r="I70" s="124">
        <f>ROUND(I20+I69,5)</f>
        <v>8117.24</v>
      </c>
      <c r="J70" s="124">
        <f>ROUND(J20+J69,5)</f>
        <v>9684.9599999999991</v>
      </c>
      <c r="K70" s="124">
        <f>ROUND(K20+K69,5)</f>
        <v>-1740.46</v>
      </c>
      <c r="L70" s="124">
        <f>ROUND(L20+L69,5)</f>
        <v>7432.4693500000003</v>
      </c>
      <c r="M70" s="124">
        <f t="shared" ref="M70:T70" si="22">ROUND(M20+M69,5)</f>
        <v>12203.50973</v>
      </c>
      <c r="N70" s="124">
        <f t="shared" si="22"/>
        <v>12710.37075</v>
      </c>
      <c r="O70" s="124">
        <f t="shared" si="22"/>
        <v>16739.691480000001</v>
      </c>
      <c r="P70" s="124">
        <f t="shared" si="22"/>
        <v>15708.48704</v>
      </c>
      <c r="Q70" s="124">
        <f t="shared" si="22"/>
        <v>16386.997289999999</v>
      </c>
      <c r="R70" s="124">
        <f t="shared" si="22"/>
        <v>13113.285320000001</v>
      </c>
      <c r="S70" s="124">
        <f t="shared" si="22"/>
        <v>12260.732110000001</v>
      </c>
      <c r="T70" s="124">
        <f t="shared" si="22"/>
        <v>12323.67211</v>
      </c>
      <c r="U70" s="124">
        <f t="shared" si="18"/>
        <v>134940.95517999999</v>
      </c>
      <c r="V70" s="44"/>
    </row>
    <row r="71" spans="1:38" ht="15" thickBot="1" x14ac:dyDescent="0.4">
      <c r="A71" s="6"/>
      <c r="B71" s="6" t="s">
        <v>73</v>
      </c>
      <c r="C71" s="6"/>
      <c r="D71" s="6"/>
      <c r="E71" s="6"/>
      <c r="F71" s="6"/>
      <c r="G71" s="6"/>
      <c r="H71" s="6"/>
      <c r="I71" s="124">
        <f>ROUND(I3+I18-I70,5)</f>
        <v>-7920.74</v>
      </c>
      <c r="J71" s="124">
        <f>ROUND(J3+J18-J70,5)</f>
        <v>-8021.35</v>
      </c>
      <c r="K71" s="124">
        <f>ROUND(K3+K18-K70,5)</f>
        <v>6539.37</v>
      </c>
      <c r="L71" s="124">
        <f>ROUND(L3+L18-L70,5)</f>
        <v>-2632.4693499999998</v>
      </c>
      <c r="M71" s="124">
        <f t="shared" ref="M71:T71" si="23">ROUND(M3+M18-M70,5)</f>
        <v>-7955.5097299999998</v>
      </c>
      <c r="N71" s="124">
        <f t="shared" si="23"/>
        <v>-8619.5707500000008</v>
      </c>
      <c r="O71" s="124">
        <f t="shared" si="23"/>
        <v>-8684.6914799999995</v>
      </c>
      <c r="P71" s="124">
        <f t="shared" si="23"/>
        <v>-1558.48704</v>
      </c>
      <c r="Q71" s="124">
        <f t="shared" si="23"/>
        <v>21303.502710000001</v>
      </c>
      <c r="R71" s="124">
        <f t="shared" si="23"/>
        <v>-8997.2853200000009</v>
      </c>
      <c r="S71" s="124">
        <f t="shared" si="23"/>
        <v>-6618.3321100000003</v>
      </c>
      <c r="T71" s="124">
        <f t="shared" si="23"/>
        <v>-7253.6721100000004</v>
      </c>
      <c r="U71" s="124">
        <f t="shared" si="18"/>
        <v>-40419.235180000003</v>
      </c>
      <c r="V71" s="44"/>
    </row>
    <row r="72" spans="1:38" s="21" customFormat="1" thickBot="1" x14ac:dyDescent="0.35">
      <c r="A72" s="6" t="s">
        <v>62</v>
      </c>
      <c r="B72" s="6"/>
      <c r="C72" s="6"/>
      <c r="D72" s="6"/>
      <c r="E72" s="6"/>
      <c r="F72" s="6"/>
      <c r="G72" s="6"/>
      <c r="H72" s="6"/>
      <c r="I72" s="127">
        <f>I71</f>
        <v>-7920.74</v>
      </c>
      <c r="J72" s="127">
        <f>J71</f>
        <v>-8021.35</v>
      </c>
      <c r="K72" s="127">
        <f>K71</f>
        <v>6539.37</v>
      </c>
      <c r="L72" s="127">
        <f>L71</f>
        <v>-2632.4693499999998</v>
      </c>
      <c r="M72" s="127">
        <f t="shared" ref="M72:T72" si="24">M71</f>
        <v>-7955.5097299999998</v>
      </c>
      <c r="N72" s="127">
        <f t="shared" si="24"/>
        <v>-8619.5707500000008</v>
      </c>
      <c r="O72" s="127">
        <f t="shared" si="24"/>
        <v>-8684.6914799999995</v>
      </c>
      <c r="P72" s="127">
        <f t="shared" si="24"/>
        <v>-1558.48704</v>
      </c>
      <c r="Q72" s="127">
        <f t="shared" si="24"/>
        <v>21303.502710000001</v>
      </c>
      <c r="R72" s="127">
        <f t="shared" si="24"/>
        <v>-8997.2853200000009</v>
      </c>
      <c r="S72" s="127">
        <f t="shared" si="24"/>
        <v>-6618.3321100000003</v>
      </c>
      <c r="T72" s="127">
        <f t="shared" si="24"/>
        <v>-7253.6721100000004</v>
      </c>
      <c r="U72" s="127">
        <f t="shared" si="18"/>
        <v>-40419.235180000003</v>
      </c>
      <c r="V72" s="120"/>
    </row>
    <row r="73" spans="1:38" ht="15" thickTop="1" x14ac:dyDescent="0.35">
      <c r="I73" s="122"/>
      <c r="J73" s="122"/>
      <c r="K73" s="122"/>
      <c r="L73" s="122"/>
      <c r="M73" s="122"/>
      <c r="N73" s="122"/>
      <c r="O73" s="122"/>
      <c r="P73" s="122"/>
      <c r="Q73" s="122"/>
      <c r="R73" s="122"/>
      <c r="S73" s="122"/>
      <c r="T73" s="122"/>
      <c r="U73" s="122"/>
      <c r="V73" s="44"/>
    </row>
    <row r="74" spans="1:38" x14ac:dyDescent="0.35">
      <c r="I74" s="122"/>
      <c r="J74" s="122"/>
      <c r="K74" s="122"/>
      <c r="L74" s="122"/>
      <c r="M74" s="122"/>
      <c r="N74" s="122"/>
      <c r="O74" s="122"/>
      <c r="P74" s="122"/>
      <c r="Q74" s="122"/>
      <c r="R74" s="122"/>
      <c r="S74" s="122"/>
      <c r="T74" s="122"/>
      <c r="U74" s="122"/>
      <c r="V74" s="44"/>
    </row>
    <row r="75" spans="1:38" x14ac:dyDescent="0.35">
      <c r="I75" s="128">
        <v>43922</v>
      </c>
      <c r="J75" s="128">
        <v>43952</v>
      </c>
      <c r="K75" s="128">
        <v>43983</v>
      </c>
      <c r="L75" s="128">
        <v>44013</v>
      </c>
      <c r="M75" s="128">
        <v>44044</v>
      </c>
      <c r="N75" s="128">
        <v>44075</v>
      </c>
      <c r="O75" s="128">
        <v>44105</v>
      </c>
      <c r="P75" s="128">
        <v>44136</v>
      </c>
      <c r="Q75" s="128">
        <v>44166</v>
      </c>
      <c r="R75" s="128">
        <v>44197</v>
      </c>
      <c r="S75" s="128">
        <v>44228</v>
      </c>
      <c r="T75" s="128">
        <v>44256</v>
      </c>
      <c r="U75" s="44" t="s">
        <v>153</v>
      </c>
      <c r="V75" s="44"/>
    </row>
    <row r="76" spans="1:38" s="118" customFormat="1" x14ac:dyDescent="0.35">
      <c r="A76" s="21"/>
      <c r="B76" s="21"/>
      <c r="C76" s="21"/>
      <c r="D76" s="21"/>
      <c r="E76" s="21"/>
      <c r="F76" s="21"/>
      <c r="G76" s="21"/>
      <c r="H76" s="129" t="s">
        <v>136</v>
      </c>
      <c r="I76" s="44">
        <v>58828.800000000003</v>
      </c>
      <c r="J76" s="44">
        <v>58709.66</v>
      </c>
      <c r="K76" s="44">
        <v>57399.21</v>
      </c>
      <c r="L76" s="44">
        <f>+K80</f>
        <v>54787.45</v>
      </c>
      <c r="M76" s="44">
        <f t="shared" ref="M76:T76" si="25">+L80</f>
        <v>55360.714999999997</v>
      </c>
      <c r="N76" s="44">
        <f t="shared" si="25"/>
        <v>57943.45</v>
      </c>
      <c r="O76" s="44">
        <f t="shared" si="25"/>
        <v>79700.290000000008</v>
      </c>
      <c r="P76" s="44">
        <f t="shared" si="25"/>
        <v>111588.83000000002</v>
      </c>
      <c r="Q76" s="44">
        <f t="shared" si="25"/>
        <v>110251.58000000002</v>
      </c>
      <c r="R76" s="44">
        <f t="shared" si="25"/>
        <v>87840.825000000012</v>
      </c>
      <c r="S76" s="44">
        <f t="shared" si="25"/>
        <v>87972.509000000005</v>
      </c>
      <c r="T76" s="44">
        <f t="shared" si="25"/>
        <v>86534.909</v>
      </c>
      <c r="U76" s="122"/>
      <c r="V76" s="44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</row>
    <row r="77" spans="1:38" x14ac:dyDescent="0.35">
      <c r="H77" s="130" t="s">
        <v>137</v>
      </c>
      <c r="I77" s="44">
        <v>-119.14</v>
      </c>
      <c r="J77" s="44">
        <v>-1198.04</v>
      </c>
      <c r="K77" s="44">
        <f>-K16</f>
        <v>-3372.76</v>
      </c>
      <c r="L77" s="44">
        <f t="shared" ref="L77:T77" si="26">-L16</f>
        <v>-3200</v>
      </c>
      <c r="M77" s="44">
        <f t="shared" si="26"/>
        <v>-2952</v>
      </c>
      <c r="N77" s="44">
        <f t="shared" si="26"/>
        <v>-2269.1999999999998</v>
      </c>
      <c r="O77" s="44">
        <f t="shared" si="26"/>
        <v>-5445</v>
      </c>
      <c r="P77" s="44">
        <f t="shared" si="26"/>
        <v>-10850</v>
      </c>
      <c r="Q77" s="44">
        <f t="shared" si="26"/>
        <v>-31159.5</v>
      </c>
      <c r="R77" s="44">
        <f t="shared" si="26"/>
        <v>-3084</v>
      </c>
      <c r="S77" s="44">
        <f t="shared" si="26"/>
        <v>-4437.6000000000004</v>
      </c>
      <c r="T77" s="44">
        <f t="shared" si="26"/>
        <v>-3930</v>
      </c>
      <c r="U77" s="122">
        <f>SUM(I77:T77)</f>
        <v>-72017.240000000005</v>
      </c>
      <c r="V77" s="44"/>
    </row>
    <row r="78" spans="1:38" x14ac:dyDescent="0.35">
      <c r="H78" s="130" t="s">
        <v>138</v>
      </c>
      <c r="I78" s="44"/>
      <c r="J78" s="44"/>
      <c r="K78" s="44">
        <v>761</v>
      </c>
      <c r="L78" s="44">
        <f>+[1]Sheet1!$E$20*0.5</f>
        <v>3773.2649999999994</v>
      </c>
      <c r="M78" s="44">
        <f>+[1]Sheet1!$F$20*0.5</f>
        <v>5534.7349999999969</v>
      </c>
      <c r="N78" s="44">
        <f>+[1]Sheet1!$G$20</f>
        <v>24026.040000000008</v>
      </c>
      <c r="O78" s="44">
        <f>+[1]Sheet1!$H$20-0.5</f>
        <v>37333.54</v>
      </c>
      <c r="P78" s="44">
        <f>+[1]Sheet1!$I$20*0.5</f>
        <v>9512.7499999999927</v>
      </c>
      <c r="Q78" s="44">
        <f>+[1]Sheet1!$J$20*0.5</f>
        <v>8748.744999999999</v>
      </c>
      <c r="R78" s="44">
        <f>+[1]Sheet1!$K$20*0.4</f>
        <v>3215.683999999997</v>
      </c>
      <c r="S78" s="44">
        <v>3000</v>
      </c>
      <c r="T78" s="44">
        <v>3000</v>
      </c>
      <c r="U78" s="122">
        <f>SUM(I78:T78)</f>
        <v>98905.759000000005</v>
      </c>
      <c r="V78" s="44"/>
    </row>
    <row r="79" spans="1:38" s="21" customFormat="1" x14ac:dyDescent="0.35">
      <c r="H79" t="s">
        <v>139</v>
      </c>
      <c r="I79" s="44"/>
      <c r="J79" s="44">
        <v>-112.41</v>
      </c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122"/>
      <c r="V79" s="44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</row>
    <row r="80" spans="1:38" x14ac:dyDescent="0.35">
      <c r="H80" s="129" t="s">
        <v>140</v>
      </c>
      <c r="I80" s="44">
        <f>SUM(I76:I79)</f>
        <v>58709.66</v>
      </c>
      <c r="J80" s="44">
        <f>SUM(J76:J79)</f>
        <v>57399.21</v>
      </c>
      <c r="K80" s="44">
        <f t="shared" ref="K80:T80" si="27">SUM(K76:K79)</f>
        <v>54787.45</v>
      </c>
      <c r="L80" s="44">
        <f t="shared" si="27"/>
        <v>55360.714999999997</v>
      </c>
      <c r="M80" s="44">
        <f t="shared" si="27"/>
        <v>57943.45</v>
      </c>
      <c r="N80" s="44">
        <f t="shared" si="27"/>
        <v>79700.290000000008</v>
      </c>
      <c r="O80" s="44">
        <f t="shared" si="27"/>
        <v>111588.83000000002</v>
      </c>
      <c r="P80" s="44">
        <f t="shared" si="27"/>
        <v>110251.58000000002</v>
      </c>
      <c r="Q80" s="44">
        <f t="shared" si="27"/>
        <v>87840.825000000012</v>
      </c>
      <c r="R80" s="44">
        <f t="shared" si="27"/>
        <v>87972.509000000005</v>
      </c>
      <c r="S80" s="44">
        <f t="shared" si="27"/>
        <v>86534.909</v>
      </c>
      <c r="T80" s="44">
        <f t="shared" si="27"/>
        <v>85604.909</v>
      </c>
      <c r="U80" s="122">
        <f>SUM(I80:T80)/12</f>
        <v>77807.861416666667</v>
      </c>
      <c r="V80" s="44"/>
    </row>
    <row r="81" spans="8:38" x14ac:dyDescent="0.35">
      <c r="I81" s="122"/>
      <c r="J81" s="122"/>
      <c r="K81" s="122">
        <f>(K80+J80+J80)/3</f>
        <v>56528.623333333329</v>
      </c>
      <c r="L81" s="122"/>
      <c r="M81" s="122"/>
      <c r="N81" s="122"/>
      <c r="O81" s="122"/>
      <c r="P81" s="122"/>
      <c r="Q81" s="122"/>
      <c r="R81" s="122"/>
      <c r="S81" s="122"/>
      <c r="T81" s="122"/>
      <c r="U81" s="122"/>
      <c r="V81" s="44"/>
    </row>
    <row r="82" spans="8:38" x14ac:dyDescent="0.35">
      <c r="I82" s="122"/>
      <c r="J82" s="122"/>
      <c r="K82" s="122"/>
      <c r="L82" s="122"/>
      <c r="M82" s="122"/>
      <c r="N82" s="122"/>
      <c r="O82" s="122"/>
      <c r="P82" s="122"/>
      <c r="Q82" s="122"/>
      <c r="R82" s="122"/>
      <c r="S82" s="122"/>
      <c r="T82" s="122"/>
      <c r="U82" s="122"/>
      <c r="V82" s="44"/>
    </row>
    <row r="83" spans="8:38" s="21" customFormat="1" x14ac:dyDescent="0.35">
      <c r="I83" s="122"/>
      <c r="J83" s="122"/>
      <c r="K83" s="122"/>
      <c r="L83" s="122"/>
      <c r="M83" s="122"/>
      <c r="N83" s="122"/>
      <c r="O83" s="122"/>
      <c r="P83" s="122"/>
      <c r="Q83" s="122"/>
      <c r="R83" s="122"/>
      <c r="S83" s="122"/>
      <c r="T83" s="122"/>
      <c r="U83" s="122"/>
      <c r="V83" s="44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</row>
    <row r="84" spans="8:38" ht="15" thickBot="1" x14ac:dyDescent="0.4">
      <c r="H84" s="43">
        <v>2020</v>
      </c>
      <c r="I84" s="40" t="s">
        <v>79</v>
      </c>
      <c r="J84" s="40" t="s">
        <v>80</v>
      </c>
      <c r="K84" s="40" t="s">
        <v>81</v>
      </c>
      <c r="L84" s="40" t="s">
        <v>82</v>
      </c>
      <c r="M84" s="41" t="s">
        <v>83</v>
      </c>
      <c r="N84" s="41" t="s">
        <v>84</v>
      </c>
      <c r="O84" s="41" t="s">
        <v>85</v>
      </c>
      <c r="P84" s="41" t="s">
        <v>86</v>
      </c>
      <c r="Q84" s="41" t="s">
        <v>87</v>
      </c>
      <c r="R84" s="41" t="s">
        <v>88</v>
      </c>
      <c r="S84" s="41" t="s">
        <v>89</v>
      </c>
      <c r="T84" s="41" t="s">
        <v>90</v>
      </c>
      <c r="V84" s="44"/>
    </row>
    <row r="85" spans="8:38" ht="15" thickTop="1" x14ac:dyDescent="0.35">
      <c r="H85" s="43" t="s">
        <v>95</v>
      </c>
      <c r="V85" s="44"/>
    </row>
    <row r="86" spans="8:38" x14ac:dyDescent="0.35">
      <c r="H86" s="43" t="s">
        <v>74</v>
      </c>
      <c r="I86" s="44">
        <v>42933</v>
      </c>
      <c r="J86" s="44">
        <f t="shared" ref="J86:T86" si="28">+I94</f>
        <v>49083.170000000006</v>
      </c>
      <c r="K86" s="44">
        <f t="shared" si="28"/>
        <v>41890.630000000005</v>
      </c>
      <c r="L86" s="44">
        <f t="shared" si="28"/>
        <v>50541.760000000002</v>
      </c>
      <c r="M86" s="44">
        <f t="shared" si="28"/>
        <v>151036.02565</v>
      </c>
      <c r="N86" s="44">
        <f t="shared" si="28"/>
        <v>139997.78092000002</v>
      </c>
      <c r="O86" s="44">
        <f t="shared" si="28"/>
        <v>109121.37017000001</v>
      </c>
      <c r="P86" s="44">
        <f t="shared" si="28"/>
        <v>68048.138689999992</v>
      </c>
      <c r="Q86" s="44">
        <f t="shared" si="28"/>
        <v>67326.901649999985</v>
      </c>
      <c r="R86" s="44">
        <f t="shared" si="28"/>
        <v>110541.15935999999</v>
      </c>
      <c r="S86" s="44">
        <f t="shared" si="28"/>
        <v>100912.19004</v>
      </c>
      <c r="T86" s="44">
        <f t="shared" si="28"/>
        <v>95231.457930000004</v>
      </c>
      <c r="U86" s="44"/>
      <c r="V86" s="44"/>
    </row>
    <row r="87" spans="8:38" x14ac:dyDescent="0.35">
      <c r="H87" s="43" t="s">
        <v>76</v>
      </c>
      <c r="I87" s="44"/>
      <c r="J87" s="44"/>
      <c r="K87" s="44">
        <v>761</v>
      </c>
      <c r="L87" s="142">
        <v>3773.2649999999994</v>
      </c>
      <c r="M87" s="44">
        <v>5534.7349999999969</v>
      </c>
      <c r="N87" s="44">
        <v>24026.040000000008</v>
      </c>
      <c r="O87" s="44">
        <v>37333.54</v>
      </c>
      <c r="P87" s="44">
        <v>9512.7499999999927</v>
      </c>
      <c r="Q87" s="44">
        <v>8748.744999999999</v>
      </c>
      <c r="R87" s="44">
        <v>3215.683999999997</v>
      </c>
      <c r="S87" s="44">
        <v>3000</v>
      </c>
      <c r="T87" s="44">
        <v>3000</v>
      </c>
      <c r="U87" s="44"/>
      <c r="V87" s="44"/>
    </row>
    <row r="88" spans="8:38" s="21" customFormat="1" x14ac:dyDescent="0.35">
      <c r="H88" s="43" t="s">
        <v>77</v>
      </c>
      <c r="I88" s="44"/>
      <c r="J88" s="44">
        <v>0</v>
      </c>
      <c r="K88" s="44">
        <v>761</v>
      </c>
      <c r="L88" s="143">
        <f>+[1]Sheet1!$E$20*0.5</f>
        <v>3773.2649999999994</v>
      </c>
      <c r="M88" s="44">
        <f>+[1]Sheet1!$F$20*0.5</f>
        <v>5534.7349999999969</v>
      </c>
      <c r="N88" s="44">
        <f>+[1]Sheet1!$G$20</f>
        <v>24026.040000000008</v>
      </c>
      <c r="O88" s="44">
        <f>+[1]Sheet1!$H$20-0.5</f>
        <v>37333.54</v>
      </c>
      <c r="P88" s="44">
        <f>+[1]Sheet1!$I$20*0.5</f>
        <v>9512.7499999999927</v>
      </c>
      <c r="Q88" s="44">
        <f>+[1]Sheet1!$J$20*0.5</f>
        <v>8748.744999999999</v>
      </c>
      <c r="R88" s="44">
        <f>+[1]Sheet1!$K$20*0.4</f>
        <v>3215.683999999997</v>
      </c>
      <c r="S88" s="44">
        <v>3000</v>
      </c>
      <c r="T88" s="44">
        <v>3000</v>
      </c>
      <c r="U88" s="44">
        <f t="shared" ref="U88:U92" si="29">SUM(I88:T88)</f>
        <v>98905.759000000005</v>
      </c>
      <c r="V88" s="44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</row>
    <row r="89" spans="8:38" s="21" customFormat="1" x14ac:dyDescent="0.35">
      <c r="H89" s="43" t="s">
        <v>155</v>
      </c>
      <c r="I89" s="44"/>
      <c r="J89" s="44"/>
      <c r="K89" s="44"/>
      <c r="L89" s="143">
        <v>104200</v>
      </c>
      <c r="M89" s="44"/>
      <c r="N89" s="44"/>
      <c r="O89" s="44"/>
      <c r="P89" s="44"/>
      <c r="Q89" s="44"/>
      <c r="R89" s="44"/>
      <c r="S89" s="44"/>
      <c r="T89" s="44"/>
      <c r="U89" s="44">
        <f t="shared" si="29"/>
        <v>104200</v>
      </c>
      <c r="V89" s="44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</row>
    <row r="90" spans="8:38" s="21" customFormat="1" x14ac:dyDescent="0.35">
      <c r="H90" s="43" t="s">
        <v>160</v>
      </c>
      <c r="I90" s="44">
        <v>14512</v>
      </c>
      <c r="J90" s="44">
        <v>360</v>
      </c>
      <c r="K90" s="44"/>
      <c r="L90" s="143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</row>
    <row r="91" spans="8:38" s="21" customFormat="1" x14ac:dyDescent="0.35">
      <c r="H91" s="43" t="s">
        <v>78</v>
      </c>
      <c r="I91" s="44">
        <v>500</v>
      </c>
      <c r="J91" s="44">
        <v>500</v>
      </c>
      <c r="K91" s="44">
        <v>500</v>
      </c>
      <c r="L91" s="143">
        <v>500</v>
      </c>
      <c r="M91" s="44">
        <v>500</v>
      </c>
      <c r="N91" s="44">
        <v>500</v>
      </c>
      <c r="O91" s="44">
        <v>500</v>
      </c>
      <c r="P91" s="44">
        <v>500</v>
      </c>
      <c r="Q91" s="44">
        <v>500</v>
      </c>
      <c r="R91" s="44">
        <v>500</v>
      </c>
      <c r="S91" s="44">
        <v>500</v>
      </c>
      <c r="T91" s="44">
        <v>500</v>
      </c>
      <c r="U91" s="44">
        <f t="shared" si="29"/>
        <v>6000</v>
      </c>
      <c r="V91" s="44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</row>
    <row r="92" spans="8:38" s="21" customFormat="1" x14ac:dyDescent="0.35">
      <c r="H92" s="43" t="s">
        <v>96</v>
      </c>
      <c r="I92" s="44">
        <f>+I11</f>
        <v>255.41</v>
      </c>
      <c r="J92" s="44">
        <f t="shared" ref="J92:T92" si="30">+J11</f>
        <v>2632.42</v>
      </c>
      <c r="K92" s="44">
        <f t="shared" si="30"/>
        <v>8171.67</v>
      </c>
      <c r="L92" s="143">
        <f t="shared" si="30"/>
        <v>8000</v>
      </c>
      <c r="M92" s="44">
        <f t="shared" si="30"/>
        <v>7200</v>
      </c>
      <c r="N92" s="44">
        <f t="shared" si="30"/>
        <v>6360</v>
      </c>
      <c r="O92" s="44">
        <f t="shared" si="30"/>
        <v>13500</v>
      </c>
      <c r="P92" s="44">
        <f t="shared" si="30"/>
        <v>25000</v>
      </c>
      <c r="Q92" s="44">
        <f t="shared" si="30"/>
        <v>68850</v>
      </c>
      <c r="R92" s="44">
        <f t="shared" si="30"/>
        <v>7200</v>
      </c>
      <c r="S92" s="44">
        <f t="shared" si="30"/>
        <v>10080</v>
      </c>
      <c r="T92" s="44">
        <f t="shared" si="30"/>
        <v>9000</v>
      </c>
      <c r="U92" s="44">
        <f t="shared" si="29"/>
        <v>166249.5</v>
      </c>
      <c r="V92" s="44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</row>
    <row r="93" spans="8:38" s="21" customFormat="1" x14ac:dyDescent="0.35">
      <c r="H93" s="43" t="s">
        <v>156</v>
      </c>
      <c r="I93" s="44">
        <f>+I70</f>
        <v>8117.24</v>
      </c>
      <c r="J93" s="44">
        <f t="shared" ref="J93:T93" si="31">+J70</f>
        <v>9684.9599999999991</v>
      </c>
      <c r="K93" s="147">
        <f t="shared" si="31"/>
        <v>-1740.46</v>
      </c>
      <c r="L93" s="143">
        <f t="shared" si="31"/>
        <v>7432.4693500000003</v>
      </c>
      <c r="M93" s="44">
        <f t="shared" si="31"/>
        <v>12203.50973</v>
      </c>
      <c r="N93" s="44">
        <f t="shared" si="31"/>
        <v>12710.37075</v>
      </c>
      <c r="O93" s="44">
        <f t="shared" si="31"/>
        <v>16739.691480000001</v>
      </c>
      <c r="P93" s="44">
        <f t="shared" si="31"/>
        <v>15708.48704</v>
      </c>
      <c r="Q93" s="44">
        <f t="shared" si="31"/>
        <v>16386.997289999999</v>
      </c>
      <c r="R93" s="44">
        <f t="shared" si="31"/>
        <v>13113.285320000001</v>
      </c>
      <c r="S93" s="44">
        <f t="shared" si="31"/>
        <v>12260.732110000001</v>
      </c>
      <c r="T93" s="44">
        <f t="shared" si="31"/>
        <v>12323.67211</v>
      </c>
      <c r="U93" s="147">
        <f>SUM(I93:T93)</f>
        <v>134940.95517999999</v>
      </c>
      <c r="V93" s="44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</row>
    <row r="94" spans="8:38" s="21" customFormat="1" x14ac:dyDescent="0.35">
      <c r="H94" s="43" t="s">
        <v>75</v>
      </c>
      <c r="I94" s="44">
        <f>+I86-I88+I92-I93-I91+I90+I89</f>
        <v>49083.170000000006</v>
      </c>
      <c r="J94" s="44">
        <f t="shared" ref="J94:T94" si="32">+J86-J88+J92-J93-J91+J90+J89</f>
        <v>41890.630000000005</v>
      </c>
      <c r="K94" s="44">
        <f t="shared" si="32"/>
        <v>50541.760000000002</v>
      </c>
      <c r="L94" s="44">
        <f t="shared" si="32"/>
        <v>151036.02565</v>
      </c>
      <c r="M94" s="44">
        <f t="shared" si="32"/>
        <v>139997.78092000002</v>
      </c>
      <c r="N94" s="44">
        <f t="shared" si="32"/>
        <v>109121.37017000001</v>
      </c>
      <c r="O94" s="44">
        <f t="shared" si="32"/>
        <v>68048.138689999992</v>
      </c>
      <c r="P94" s="44">
        <f t="shared" si="32"/>
        <v>67326.901649999985</v>
      </c>
      <c r="Q94" s="44">
        <f t="shared" si="32"/>
        <v>110541.15935999999</v>
      </c>
      <c r="R94" s="44">
        <f t="shared" si="32"/>
        <v>100912.19004</v>
      </c>
      <c r="S94" s="44">
        <f t="shared" si="32"/>
        <v>95231.457930000004</v>
      </c>
      <c r="T94" s="44">
        <f t="shared" si="32"/>
        <v>88407.785820000005</v>
      </c>
      <c r="U94" s="44"/>
      <c r="V94" s="4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</row>
    <row r="95" spans="8:38" s="21" customFormat="1" x14ac:dyDescent="0.35"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</row>
    <row r="96" spans="8:38" s="21" customFormat="1" x14ac:dyDescent="0.35">
      <c r="I96" s="115"/>
      <c r="J96" s="115"/>
      <c r="K96" s="115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</row>
    <row r="97" spans="9:38" s="21" customFormat="1" x14ac:dyDescent="0.35"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</row>
    <row r="98" spans="9:38" s="21" customFormat="1" x14ac:dyDescent="0.35"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</row>
    <row r="99" spans="9:38" s="21" customFormat="1" x14ac:dyDescent="0.35"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</row>
  </sheetData>
  <pageMargins left="0" right="0" top="0.25" bottom="0.25" header="0.3" footer="0.3"/>
  <pageSetup scale="80" orientation="landscape" horizontalDpi="360" verticalDpi="36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2021 Budget</vt:lpstr>
      <vt:lpstr>Bud Detail</vt:lpstr>
      <vt:lpstr>Bank Fcast</vt:lpstr>
      <vt:lpstr>Budget Revised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Judy</cp:lastModifiedBy>
  <cp:lastPrinted>2020-07-17T18:22:56Z</cp:lastPrinted>
  <dcterms:created xsi:type="dcterms:W3CDTF">2020-02-25T23:59:32Z</dcterms:created>
  <dcterms:modified xsi:type="dcterms:W3CDTF">2020-09-11T14:02:34Z</dcterms:modified>
</cp:coreProperties>
</file>