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gehillneighborhoodpartnership/Desktop/Print/"/>
    </mc:Choice>
  </mc:AlternateContent>
  <xr:revisionPtr revIDLastSave="0" documentId="13_ncr:1_{45D73D4E-360A-1943-9199-5FEB73A73609}" xr6:coauthVersionLast="45" xr6:coauthVersionMax="45" xr10:uidLastSave="{00000000-0000-0000-0000-000000000000}"/>
  <bookViews>
    <workbookView xWindow="10760" yWindow="460" windowWidth="17100" windowHeight="14900" activeTab="2" xr2:uid="{00000000-000D-0000-FFFF-FFFF00000000}"/>
  </bookViews>
  <sheets>
    <sheet name="Prop2020-Bd" sheetId="16" r:id="rId1"/>
    <sheet name="Income" sheetId="17" r:id="rId2"/>
    <sheet name="Expenses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16" l="1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C33" i="16"/>
  <c r="D33" i="16"/>
  <c r="G33" i="16" s="1"/>
  <c r="G50" i="16" s="1"/>
  <c r="F33" i="16"/>
  <c r="C30" i="16"/>
  <c r="C29" i="16"/>
  <c r="C50" i="16" s="1"/>
  <c r="D31" i="16"/>
  <c r="D29" i="16"/>
  <c r="D50" i="16" s="1"/>
  <c r="E30" i="16"/>
  <c r="E31" i="16"/>
  <c r="E29" i="16"/>
  <c r="E50" i="16" s="1"/>
  <c r="F29" i="16"/>
  <c r="F50" i="16" s="1"/>
  <c r="G29" i="16"/>
  <c r="C3" i="16"/>
  <c r="C7" i="16"/>
  <c r="C10" i="16"/>
  <c r="C20" i="16"/>
  <c r="C26" i="16"/>
  <c r="D3" i="16"/>
  <c r="D7" i="16"/>
  <c r="D10" i="16"/>
  <c r="D20" i="16"/>
  <c r="D26" i="16" s="1"/>
  <c r="E3" i="16"/>
  <c r="E7" i="16"/>
  <c r="E10" i="16"/>
  <c r="G10" i="16" s="1"/>
  <c r="E20" i="16"/>
  <c r="F3" i="16"/>
  <c r="F7" i="16"/>
  <c r="F26" i="16" s="1"/>
  <c r="F10" i="16"/>
  <c r="F20" i="16"/>
  <c r="G20" i="16"/>
  <c r="G3" i="16"/>
  <c r="J6" i="18"/>
  <c r="J38" i="18" s="1"/>
  <c r="C2" i="18"/>
  <c r="I2" i="18" s="1"/>
  <c r="D2" i="18"/>
  <c r="E2" i="18"/>
  <c r="C6" i="18"/>
  <c r="I6" i="18" s="1"/>
  <c r="F6" i="18"/>
  <c r="I8" i="18"/>
  <c r="I10" i="18"/>
  <c r="I12" i="18"/>
  <c r="I14" i="18"/>
  <c r="C16" i="18"/>
  <c r="I16" i="18"/>
  <c r="I18" i="18"/>
  <c r="I20" i="18"/>
  <c r="I22" i="18"/>
  <c r="I23" i="18"/>
  <c r="I24" i="18"/>
  <c r="I25" i="18"/>
  <c r="I27" i="18"/>
  <c r="I29" i="18"/>
  <c r="I31" i="18"/>
  <c r="I32" i="18"/>
  <c r="I34" i="18"/>
  <c r="F38" i="18"/>
  <c r="E38" i="18"/>
  <c r="D38" i="18"/>
  <c r="C38" i="18"/>
  <c r="C3" i="18"/>
  <c r="C36" i="18" s="1"/>
  <c r="D3" i="18"/>
  <c r="E3" i="18"/>
  <c r="E36" i="18" s="1"/>
  <c r="F3" i="18"/>
  <c r="G3" i="18"/>
  <c r="D4" i="18"/>
  <c r="G4" i="18" s="1"/>
  <c r="G5" i="18" s="1"/>
  <c r="E4" i="18"/>
  <c r="C7" i="18"/>
  <c r="D7" i="18"/>
  <c r="E7" i="18"/>
  <c r="F7" i="18"/>
  <c r="F36" i="18" s="1"/>
  <c r="G9" i="18"/>
  <c r="C11" i="18"/>
  <c r="G11" i="18"/>
  <c r="C13" i="18"/>
  <c r="G13" i="18" s="1"/>
  <c r="D13" i="18"/>
  <c r="C15" i="18"/>
  <c r="G15" i="18" s="1"/>
  <c r="G17" i="18"/>
  <c r="G19" i="18"/>
  <c r="D21" i="18"/>
  <c r="G21" i="18" s="1"/>
  <c r="E21" i="18"/>
  <c r="G26" i="18"/>
  <c r="D28" i="18"/>
  <c r="G28" i="18" s="1"/>
  <c r="G30" i="18"/>
  <c r="G33" i="18"/>
  <c r="G35" i="18"/>
  <c r="H3" i="18"/>
  <c r="H4" i="18"/>
  <c r="H5" i="18"/>
  <c r="D36" i="18"/>
  <c r="J28" i="17"/>
  <c r="C28" i="17"/>
  <c r="D28" i="17"/>
  <c r="I28" i="17" s="1"/>
  <c r="E28" i="17"/>
  <c r="F28" i="17"/>
  <c r="H27" i="17"/>
  <c r="C4" i="17"/>
  <c r="D4" i="17"/>
  <c r="G4" i="17" s="1"/>
  <c r="G7" i="17" s="1"/>
  <c r="E4" i="17"/>
  <c r="F4" i="17"/>
  <c r="G5" i="17"/>
  <c r="F6" i="17"/>
  <c r="G6" i="17"/>
  <c r="G9" i="17"/>
  <c r="G10" i="17"/>
  <c r="G11" i="17"/>
  <c r="H11" i="17" s="1"/>
  <c r="G13" i="17"/>
  <c r="C14" i="17"/>
  <c r="G14" i="17" s="1"/>
  <c r="G21" i="17" s="1"/>
  <c r="H21" i="17" s="1"/>
  <c r="G15" i="17"/>
  <c r="G16" i="17"/>
  <c r="G17" i="17"/>
  <c r="G18" i="17"/>
  <c r="G23" i="17"/>
  <c r="G26" i="17" s="1"/>
  <c r="G24" i="17"/>
  <c r="H26" i="17"/>
  <c r="I22" i="17"/>
  <c r="I12" i="17"/>
  <c r="I8" i="17"/>
  <c r="I3" i="17"/>
  <c r="H33" i="16"/>
  <c r="H50" i="16"/>
  <c r="H26" i="16"/>
  <c r="H7" i="17" l="1"/>
  <c r="G27" i="17"/>
  <c r="I38" i="18"/>
  <c r="G7" i="18"/>
  <c r="G36" i="18" s="1"/>
  <c r="H37" i="18" s="1"/>
  <c r="G7" i="16"/>
  <c r="G26" i="16" s="1"/>
  <c r="E26" i="16"/>
</calcChain>
</file>

<file path=xl/sharedStrings.xml><?xml version="1.0" encoding="utf-8"?>
<sst xmlns="http://schemas.openxmlformats.org/spreadsheetml/2006/main" count="148" uniqueCount="106">
  <si>
    <t>Office Supplies</t>
  </si>
  <si>
    <t>Food</t>
  </si>
  <si>
    <t>Free Store</t>
  </si>
  <si>
    <t>Inventory Supplies</t>
  </si>
  <si>
    <t>The Spot</t>
  </si>
  <si>
    <t>Professional Services</t>
  </si>
  <si>
    <t>Miscellaneous</t>
  </si>
  <si>
    <t>General</t>
  </si>
  <si>
    <t>Equipment</t>
  </si>
  <si>
    <t>Student Enrichment</t>
  </si>
  <si>
    <t>Individual Donations</t>
  </si>
  <si>
    <t>Grants</t>
  </si>
  <si>
    <t>Events</t>
  </si>
  <si>
    <t>Expenses</t>
  </si>
  <si>
    <t>Academic Supplies</t>
  </si>
  <si>
    <t>Staff Educ/Training</t>
  </si>
  <si>
    <t>Travel</t>
  </si>
  <si>
    <t>Community Events, meetings</t>
  </si>
  <si>
    <t>Occupancy (EUMC)</t>
  </si>
  <si>
    <t>Postage/PO Box</t>
  </si>
  <si>
    <t>Program Supplies/Materials</t>
  </si>
  <si>
    <t>Govt Fees, bank fees</t>
  </si>
  <si>
    <t>Communications</t>
  </si>
  <si>
    <t>Institutions/Corporations</t>
  </si>
  <si>
    <t xml:space="preserve"> - Unsolicited - 8000</t>
  </si>
  <si>
    <t xml:space="preserve"> - Winter Appeal - 3000</t>
  </si>
  <si>
    <t xml:space="preserve"> - NPZ Belcourt movie sponsor</t>
  </si>
  <si>
    <t>Budget Total</t>
  </si>
  <si>
    <t xml:space="preserve"> - Night Out with Neighbors</t>
  </si>
  <si>
    <t xml:space="preserve"> - Exec Dir</t>
  </si>
  <si>
    <t>Housing Advoc (NPZ)</t>
  </si>
  <si>
    <t xml:space="preserve"> - FreeStore/Spot</t>
  </si>
  <si>
    <t>YTD Jan-May Actual</t>
  </si>
  <si>
    <t xml:space="preserve"> - Spring Appeal/BigPbk - 13,500</t>
  </si>
  <si>
    <t xml:space="preserve"> - NOWN-Corp Sponsors</t>
  </si>
  <si>
    <t>Income</t>
  </si>
  <si>
    <t>Actual Expense Total YTD</t>
  </si>
  <si>
    <t>Budgeted Expense Total</t>
  </si>
  <si>
    <t xml:space="preserve"> - West End UMC-4,000</t>
  </si>
  <si>
    <t xml:space="preserve"> - Holloway Foundn-10,000</t>
  </si>
  <si>
    <t xml:space="preserve"> - United Way-25,000</t>
  </si>
  <si>
    <t xml:space="preserve"> - Madoox Found'n-12,000</t>
  </si>
  <si>
    <t xml:space="preserve"> -Coupon Bklets</t>
  </si>
  <si>
    <t xml:space="preserve"> - Ingram Charities</t>
  </si>
  <si>
    <t>Indiv-Total</t>
  </si>
  <si>
    <t>Instit-Total</t>
  </si>
  <si>
    <t>Grants-Total</t>
  </si>
  <si>
    <t>Events-Total</t>
  </si>
  <si>
    <t>Prof Svcs-Total</t>
  </si>
  <si>
    <t>Add'l Est Nov-Dec</t>
  </si>
  <si>
    <t xml:space="preserve"> - CommtyFoundn-?</t>
  </si>
  <si>
    <t xml:space="preserve"> - Virtual Concert/Record sales</t>
  </si>
  <si>
    <t>Edgehill Neighborhood Partnership - 2021 Budget draft</t>
  </si>
  <si>
    <t>2021 Proposed Budgt</t>
  </si>
  <si>
    <t xml:space="preserve"> - Stentzel Found'n: 8,000</t>
  </si>
  <si>
    <t>Fundraising, database</t>
  </si>
  <si>
    <t xml:space="preserve"> - Loan (PPP CARES Act):</t>
  </si>
  <si>
    <t>Other: 2,700</t>
  </si>
  <si>
    <t>Budgeted Revenue Total</t>
  </si>
  <si>
    <t>Actual Revenue Total</t>
  </si>
  <si>
    <t>Budget</t>
  </si>
  <si>
    <t>Nov-Dec</t>
  </si>
  <si>
    <t>Estimated Expense Total:</t>
  </si>
  <si>
    <t>Discretionary, Gifts, Scholarshps</t>
  </si>
  <si>
    <t>Housing    Advocacy         (NPZ)</t>
  </si>
  <si>
    <t>YTD           Jan-Oct</t>
  </si>
  <si>
    <t xml:space="preserve">NOWN-$5k </t>
  </si>
  <si>
    <t>Valentines-$5k</t>
  </si>
  <si>
    <t>Kharis-$5k</t>
  </si>
  <si>
    <t>Mem'l-$23k</t>
  </si>
  <si>
    <t>CFMT-$5k</t>
  </si>
  <si>
    <t>Ingram-$5k</t>
  </si>
  <si>
    <t>Maddox-$12k</t>
  </si>
  <si>
    <t>Holloway-$10k</t>
  </si>
  <si>
    <t>Stentzel-$6k</t>
  </si>
  <si>
    <t>WEUMC-$4k</t>
  </si>
  <si>
    <t xml:space="preserve"> - Spring Appeal/BigPbk - 18,000</t>
  </si>
  <si>
    <t xml:space="preserve"> </t>
  </si>
  <si>
    <t xml:space="preserve"> - Stentzel Found'n: 6,000</t>
  </si>
  <si>
    <t xml:space="preserve"> - United Way-10,000</t>
  </si>
  <si>
    <t xml:space="preserve"> - Madoox Found'n-10,000</t>
  </si>
  <si>
    <t xml:space="preserve"> - Ingram Charities-4,000</t>
  </si>
  <si>
    <t xml:space="preserve"> - Coupon Bklets</t>
  </si>
  <si>
    <t xml:space="preserve"> - Other-Master Class</t>
  </si>
  <si>
    <t xml:space="preserve"> - Valentine Master Class</t>
  </si>
  <si>
    <t>Housing Advoc</t>
  </si>
  <si>
    <t>Communic/Internet/Info Tech</t>
  </si>
  <si>
    <t>Fundraising, Database</t>
  </si>
  <si>
    <t>Travel - Staff/Vol</t>
  </si>
  <si>
    <t xml:space="preserve"> - PT Grantwriter</t>
  </si>
  <si>
    <t xml:space="preserve"> - CommtyFoundn-6000</t>
  </si>
  <si>
    <t xml:space="preserve"> - Winter Appeal - 12,000</t>
  </si>
  <si>
    <t xml:space="preserve"> - Unsolicited - 12,000</t>
  </si>
  <si>
    <t xml:space="preserve"> - Other-5,000</t>
  </si>
  <si>
    <t xml:space="preserve"> - Memorial/Other-23,000</t>
  </si>
  <si>
    <t xml:space="preserve"> - Event-Corp Sponsors-4,500</t>
  </si>
  <si>
    <t xml:space="preserve"> - Program Corp Sponsors-5,200</t>
  </si>
  <si>
    <t>Inventory Supplies-FreeStore</t>
  </si>
  <si>
    <t>Receivables:</t>
  </si>
  <si>
    <t xml:space="preserve"> Loan: PPP CARES Act:</t>
  </si>
  <si>
    <t xml:space="preserve"> TN Covid Cares Act:</t>
  </si>
  <si>
    <t>Edgehill Neighborhood Partnership - 2021 Budget revised (1-23-21)</t>
  </si>
  <si>
    <t>Housing    Advocacy</t>
  </si>
  <si>
    <t>Payables:        2020 salary shortfall:</t>
  </si>
  <si>
    <t>Approved 2021 Budget</t>
  </si>
  <si>
    <t>2021 Budget-amended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</si>
</sst>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;[Red]&quot;$&quot;#,##0"/>
    <numFmt numFmtId="165" formatCode="&quot;$&quot;#,##0.00;[Red]&quot;$&quot;#,##0.00"/>
    <numFmt numFmtId="166" formatCode="&quot;$&quot;#,##0"/>
    <numFmt numFmtId="167" formatCode="&quot;$&quot;#,##0.00"/>
    <numFmt numFmtId="168" formatCode="#,##0;[Red]#,##0"/>
  </numFmts>
  <fonts count="3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6600"/>
      <name val="Calibri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222222"/>
      <name val="Arial"/>
      <family val="2"/>
    </font>
    <font>
      <b/>
      <u/>
      <sz val="11"/>
      <name val="Arial"/>
      <family val="2"/>
    </font>
    <font>
      <b/>
      <sz val="11"/>
      <color theme="9" tint="0.79998168889431442"/>
      <name val="Arial"/>
    </font>
    <font>
      <b/>
      <sz val="11"/>
      <color indexed="8"/>
      <name val="Arial"/>
    </font>
    <font>
      <b/>
      <sz val="10"/>
      <name val="Arial"/>
    </font>
    <font>
      <b/>
      <sz val="11"/>
      <color rgb="FF0000FF"/>
      <name val="Calibri"/>
      <scheme val="minor"/>
    </font>
    <font>
      <sz val="10"/>
      <color rgb="FF0000FF"/>
      <name val="Arial"/>
    </font>
    <font>
      <b/>
      <sz val="10"/>
      <color rgb="FF0000FF"/>
      <name val="Arial"/>
    </font>
    <font>
      <sz val="11"/>
      <color rgb="FF0000FF"/>
      <name val="Arial"/>
    </font>
    <font>
      <b/>
      <sz val="11"/>
      <color rgb="FF0000FF"/>
      <name val="Arial"/>
    </font>
    <font>
      <b/>
      <sz val="10"/>
      <color rgb="FFFF6600"/>
      <name val="Arial"/>
    </font>
    <font>
      <b/>
      <sz val="11"/>
      <color rgb="FFFF6600"/>
      <name val="Arial"/>
    </font>
    <font>
      <b/>
      <sz val="10"/>
      <color theme="8" tint="0.59999389629810485"/>
      <name val="Arial"/>
    </font>
    <font>
      <sz val="11"/>
      <color rgb="FF0000FF"/>
      <name val="Calibri"/>
      <scheme val="minor"/>
    </font>
    <font>
      <b/>
      <sz val="11"/>
      <color rgb="FFFF0000"/>
      <name val="Calibri"/>
      <scheme val="minor"/>
    </font>
    <font>
      <b/>
      <sz val="10"/>
      <color rgb="FFFF0000"/>
      <name val="Arial"/>
    </font>
    <font>
      <b/>
      <sz val="11"/>
      <color rgb="FFFF0000"/>
      <name val="Arial"/>
    </font>
  </fonts>
  <fills count="8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69">
    <xf numFmtId="0" fontId="0" fillId="0" borderId="0"/>
    <xf numFmtId="0" fontId="1" fillId="2" borderId="0"/>
    <xf numFmtId="0" fontId="4" fillId="2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0">
    <xf numFmtId="0" fontId="0" fillId="0" borderId="0" xfId="0"/>
    <xf numFmtId="0" fontId="2" fillId="4" borderId="6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center" wrapText="1"/>
    </xf>
    <xf numFmtId="6" fontId="3" fillId="3" borderId="1" xfId="1" applyNumberFormat="1" applyFont="1" applyFill="1" applyBorder="1" applyAlignment="1">
      <alignment vertical="top"/>
    </xf>
    <xf numFmtId="0" fontId="0" fillId="0" borderId="0" xfId="0" applyBorder="1"/>
    <xf numFmtId="0" fontId="6" fillId="2" borderId="0" xfId="1" applyFont="1" applyBorder="1" applyAlignment="1">
      <alignment horizontal="right"/>
    </xf>
    <xf numFmtId="0" fontId="2" fillId="4" borderId="7" xfId="1" applyFont="1" applyFill="1" applyBorder="1" applyAlignment="1">
      <alignment horizontal="center" wrapText="1"/>
    </xf>
    <xf numFmtId="0" fontId="2" fillId="4" borderId="9" xfId="1" applyFont="1" applyFill="1" applyBorder="1" applyAlignment="1">
      <alignment horizontal="center" wrapText="1"/>
    </xf>
    <xf numFmtId="0" fontId="0" fillId="2" borderId="5" xfId="1" applyFont="1" applyBorder="1" applyAlignment="1"/>
    <xf numFmtId="166" fontId="0" fillId="0" borderId="0" xfId="0" applyNumberFormat="1"/>
    <xf numFmtId="6" fontId="3" fillId="0" borderId="13" xfId="1" applyNumberFormat="1" applyFont="1" applyFill="1" applyBorder="1" applyAlignment="1">
      <alignment vertical="top"/>
    </xf>
    <xf numFmtId="166" fontId="0" fillId="5" borderId="1" xfId="0" applyNumberFormat="1" applyFill="1" applyBorder="1"/>
    <xf numFmtId="0" fontId="1" fillId="2" borderId="17" xfId="1" applyFont="1" applyBorder="1" applyAlignment="1"/>
    <xf numFmtId="0" fontId="0" fillId="2" borderId="17" xfId="1" applyFont="1" applyBorder="1" applyAlignment="1"/>
    <xf numFmtId="0" fontId="6" fillId="2" borderId="5" xfId="1" applyFont="1" applyBorder="1" applyAlignment="1"/>
    <xf numFmtId="0" fontId="1" fillId="2" borderId="22" xfId="1" applyFont="1" applyBorder="1" applyAlignment="1"/>
    <xf numFmtId="0" fontId="1" fillId="2" borderId="4" xfId="1" applyFont="1" applyBorder="1" applyAlignment="1"/>
    <xf numFmtId="1" fontId="12" fillId="5" borderId="19" xfId="2" applyNumberFormat="1" applyFont="1" applyFill="1" applyBorder="1" applyAlignment="1">
      <alignment horizontal="right" vertical="top"/>
    </xf>
    <xf numFmtId="6" fontId="12" fillId="5" borderId="19" xfId="2" applyNumberFormat="1" applyFont="1" applyFill="1" applyBorder="1" applyAlignment="1">
      <alignment horizontal="right" vertical="top"/>
    </xf>
    <xf numFmtId="0" fontId="1" fillId="0" borderId="0" xfId="0" applyFont="1"/>
    <xf numFmtId="166" fontId="8" fillId="5" borderId="1" xfId="0" applyNumberFormat="1" applyFont="1" applyFill="1" applyBorder="1"/>
    <xf numFmtId="166" fontId="8" fillId="5" borderId="19" xfId="0" applyNumberFormat="1" applyFont="1" applyFill="1" applyBorder="1"/>
    <xf numFmtId="166" fontId="0" fillId="5" borderId="19" xfId="0" applyNumberFormat="1" applyFill="1" applyBorder="1"/>
    <xf numFmtId="164" fontId="5" fillId="5" borderId="18" xfId="1" applyNumberFormat="1" applyFont="1" applyFill="1" applyBorder="1" applyAlignment="1">
      <alignment horizontal="right" vertical="top"/>
    </xf>
    <xf numFmtId="166" fontId="6" fillId="7" borderId="11" xfId="0" applyNumberFormat="1" applyFont="1" applyFill="1" applyBorder="1"/>
    <xf numFmtId="166" fontId="6" fillId="7" borderId="16" xfId="0" applyNumberFormat="1" applyFont="1" applyFill="1" applyBorder="1"/>
    <xf numFmtId="166" fontId="6" fillId="7" borderId="20" xfId="0" applyNumberFormat="1" applyFont="1" applyFill="1" applyBorder="1"/>
    <xf numFmtId="166" fontId="0" fillId="7" borderId="20" xfId="0" applyNumberFormat="1" applyFont="1" applyFill="1" applyBorder="1"/>
    <xf numFmtId="166" fontId="6" fillId="7" borderId="1" xfId="0" applyNumberFormat="1" applyFont="1" applyFill="1" applyBorder="1"/>
    <xf numFmtId="164" fontId="6" fillId="7" borderId="15" xfId="0" applyNumberFormat="1" applyFont="1" applyFill="1" applyBorder="1"/>
    <xf numFmtId="165" fontId="13" fillId="7" borderId="1" xfId="2" applyNumberFormat="1" applyFont="1" applyFill="1" applyBorder="1" applyAlignment="1">
      <alignment horizontal="right" vertical="top"/>
    </xf>
    <xf numFmtId="165" fontId="6" fillId="7" borderId="1" xfId="0" applyNumberFormat="1" applyFont="1" applyFill="1" applyBorder="1" applyAlignment="1"/>
    <xf numFmtId="164" fontId="13" fillId="7" borderId="1" xfId="2" applyNumberFormat="1" applyFont="1" applyFill="1" applyBorder="1" applyAlignment="1">
      <alignment horizontal="right" vertical="top"/>
    </xf>
    <xf numFmtId="6" fontId="13" fillId="7" borderId="1" xfId="1" applyNumberFormat="1" applyFont="1" applyFill="1" applyBorder="1" applyAlignment="1">
      <alignment horizontal="right" vertical="top"/>
    </xf>
    <xf numFmtId="6" fontId="13" fillId="7" borderId="1" xfId="2" applyNumberFormat="1" applyFont="1" applyFill="1" applyBorder="1" applyAlignment="1">
      <alignment horizontal="right" vertical="top"/>
    </xf>
    <xf numFmtId="0" fontId="11" fillId="7" borderId="1" xfId="0" applyFont="1" applyFill="1" applyBorder="1" applyAlignment="1"/>
    <xf numFmtId="6" fontId="13" fillId="7" borderId="19" xfId="2" applyNumberFormat="1" applyFont="1" applyFill="1" applyBorder="1" applyAlignment="1">
      <alignment horizontal="right" vertical="top"/>
    </xf>
    <xf numFmtId="6" fontId="13" fillId="7" borderId="19" xfId="1" applyNumberFormat="1" applyFont="1" applyFill="1" applyBorder="1" applyAlignment="1">
      <alignment horizontal="right" vertical="top"/>
    </xf>
    <xf numFmtId="166" fontId="0" fillId="5" borderId="19" xfId="0" applyNumberFormat="1" applyFont="1" applyFill="1" applyBorder="1"/>
    <xf numFmtId="3" fontId="12" fillId="5" borderId="19" xfId="2" applyNumberFormat="1" applyFont="1" applyFill="1" applyBorder="1" applyAlignment="1">
      <alignment horizontal="right" vertical="top"/>
    </xf>
    <xf numFmtId="3" fontId="1" fillId="5" borderId="19" xfId="0" applyNumberFormat="1" applyFont="1" applyFill="1" applyBorder="1" applyAlignment="1"/>
    <xf numFmtId="1" fontId="1" fillId="5" borderId="19" xfId="0" applyNumberFormat="1" applyFont="1" applyFill="1" applyBorder="1" applyAlignment="1"/>
    <xf numFmtId="6" fontId="12" fillId="5" borderId="19" xfId="1" applyNumberFormat="1" applyFont="1" applyFill="1" applyBorder="1" applyAlignment="1">
      <alignment horizontal="right" vertical="top"/>
    </xf>
    <xf numFmtId="0" fontId="8" fillId="5" borderId="19" xfId="0" applyFont="1" applyFill="1" applyBorder="1" applyAlignment="1"/>
    <xf numFmtId="0" fontId="1" fillId="2" borderId="0" xfId="1" applyFont="1"/>
    <xf numFmtId="0" fontId="13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center" vertical="center"/>
    </xf>
    <xf numFmtId="6" fontId="14" fillId="7" borderId="3" xfId="1" applyNumberFormat="1" applyFont="1" applyFill="1" applyBorder="1" applyAlignment="1">
      <alignment horizontal="right" vertical="top"/>
    </xf>
    <xf numFmtId="166" fontId="0" fillId="5" borderId="0" xfId="0" applyNumberFormat="1" applyFont="1" applyFill="1" applyBorder="1"/>
    <xf numFmtId="166" fontId="0" fillId="5" borderId="1" xfId="0" applyNumberFormat="1" applyFont="1" applyFill="1" applyBorder="1"/>
    <xf numFmtId="166" fontId="0" fillId="7" borderId="11" xfId="0" applyNumberFormat="1" applyFont="1" applyFill="1" applyBorder="1"/>
    <xf numFmtId="164" fontId="6" fillId="7" borderId="1" xfId="0" applyNumberFormat="1" applyFont="1" applyFill="1" applyBorder="1"/>
    <xf numFmtId="166" fontId="15" fillId="0" borderId="0" xfId="1" applyNumberFormat="1" applyFont="1" applyFill="1" applyAlignment="1">
      <alignment horizontal="center" vertical="center"/>
    </xf>
    <xf numFmtId="166" fontId="2" fillId="6" borderId="9" xfId="1" applyNumberFormat="1" applyFont="1" applyFill="1" applyBorder="1" applyAlignment="1">
      <alignment horizontal="center" wrapText="1"/>
    </xf>
    <xf numFmtId="166" fontId="5" fillId="5" borderId="1" xfId="2" applyNumberFormat="1" applyFont="1" applyFill="1" applyBorder="1" applyAlignment="1">
      <alignment horizontal="right" vertical="top"/>
    </xf>
    <xf numFmtId="166" fontId="5" fillId="5" borderId="19" xfId="2" applyNumberFormat="1" applyFont="1" applyFill="1" applyBorder="1" applyAlignment="1">
      <alignment horizontal="right" vertical="top"/>
    </xf>
    <xf numFmtId="166" fontId="12" fillId="5" borderId="19" xfId="2" applyNumberFormat="1" applyFont="1" applyFill="1" applyBorder="1" applyAlignment="1">
      <alignment horizontal="right" vertical="top"/>
    </xf>
    <xf numFmtId="166" fontId="12" fillId="5" borderId="1" xfId="2" applyNumberFormat="1" applyFont="1" applyFill="1" applyBorder="1" applyAlignment="1">
      <alignment horizontal="right" vertical="top"/>
    </xf>
    <xf numFmtId="0" fontId="6" fillId="7" borderId="2" xfId="1" applyFont="1" applyFill="1" applyBorder="1" applyAlignment="1"/>
    <xf numFmtId="0" fontId="6" fillId="2" borderId="6" xfId="1" applyFont="1" applyBorder="1" applyAlignment="1"/>
    <xf numFmtId="166" fontId="6" fillId="7" borderId="12" xfId="0" applyNumberFormat="1" applyFont="1" applyFill="1" applyBorder="1"/>
    <xf numFmtId="166" fontId="0" fillId="5" borderId="12" xfId="0" applyNumberFormat="1" applyFill="1" applyBorder="1"/>
    <xf numFmtId="166" fontId="6" fillId="7" borderId="25" xfId="0" applyNumberFormat="1" applyFont="1" applyFill="1" applyBorder="1"/>
    <xf numFmtId="167" fontId="0" fillId="0" borderId="0" xfId="0" applyNumberFormat="1"/>
    <xf numFmtId="164" fontId="0" fillId="5" borderId="18" xfId="0" applyNumberFormat="1" applyFill="1" applyBorder="1"/>
    <xf numFmtId="166" fontId="0" fillId="5" borderId="1" xfId="0" applyNumberFormat="1" applyFont="1" applyFill="1" applyBorder="1" applyAlignment="1"/>
    <xf numFmtId="6" fontId="13" fillId="5" borderId="19" xfId="2" applyNumberFormat="1" applyFont="1" applyFill="1" applyBorder="1" applyAlignment="1">
      <alignment horizontal="right" vertical="top"/>
    </xf>
    <xf numFmtId="166" fontId="0" fillId="7" borderId="1" xfId="0" applyNumberFormat="1" applyFill="1" applyBorder="1"/>
    <xf numFmtId="166" fontId="12" fillId="5" borderId="23" xfId="2" applyNumberFormat="1" applyFont="1" applyFill="1" applyBorder="1" applyAlignment="1">
      <alignment horizontal="right" vertical="top"/>
    </xf>
    <xf numFmtId="166" fontId="0" fillId="7" borderId="18" xfId="0" applyNumberFormat="1" applyFill="1" applyBorder="1"/>
    <xf numFmtId="166" fontId="0" fillId="7" borderId="26" xfId="0" applyNumberFormat="1" applyFill="1" applyBorder="1"/>
    <xf numFmtId="166" fontId="0" fillId="7" borderId="10" xfId="0" applyNumberFormat="1" applyFill="1" applyBorder="1"/>
    <xf numFmtId="6" fontId="13" fillId="7" borderId="26" xfId="2" applyNumberFormat="1" applyFont="1" applyFill="1" applyBorder="1" applyAlignment="1">
      <alignment horizontal="right" vertical="top"/>
    </xf>
    <xf numFmtId="6" fontId="13" fillId="7" borderId="26" xfId="1" applyNumberFormat="1" applyFont="1" applyFill="1" applyBorder="1" applyAlignment="1">
      <alignment horizontal="right" vertical="top"/>
    </xf>
    <xf numFmtId="0" fontId="6" fillId="2" borderId="28" xfId="1" applyFont="1" applyBorder="1" applyAlignment="1"/>
    <xf numFmtId="6" fontId="12" fillId="5" borderId="23" xfId="2" applyNumberFormat="1" applyFont="1" applyFill="1" applyBorder="1" applyAlignment="1">
      <alignment horizontal="right" vertical="top"/>
    </xf>
    <xf numFmtId="6" fontId="13" fillId="7" borderId="10" xfId="1" applyNumberFormat="1" applyFont="1" applyFill="1" applyBorder="1" applyAlignment="1">
      <alignment horizontal="right" vertical="top"/>
    </xf>
    <xf numFmtId="6" fontId="13" fillId="5" borderId="19" xfId="1" applyNumberFormat="1" applyFont="1" applyFill="1" applyBorder="1" applyAlignment="1">
      <alignment horizontal="right" vertical="top"/>
    </xf>
    <xf numFmtId="6" fontId="13" fillId="7" borderId="10" xfId="2" applyNumberFormat="1" applyFont="1" applyFill="1" applyBorder="1" applyAlignment="1">
      <alignment horizontal="right" vertical="top"/>
    </xf>
    <xf numFmtId="166" fontId="12" fillId="7" borderId="10" xfId="2" applyNumberFormat="1" applyFont="1" applyFill="1" applyBorder="1" applyAlignment="1">
      <alignment horizontal="right" vertical="top"/>
    </xf>
    <xf numFmtId="0" fontId="6" fillId="2" borderId="30" xfId="1" applyFont="1" applyBorder="1" applyAlignment="1"/>
    <xf numFmtId="0" fontId="6" fillId="2" borderId="17" xfId="1" applyFont="1" applyBorder="1" applyAlignment="1"/>
    <xf numFmtId="166" fontId="17" fillId="7" borderId="24" xfId="0" applyNumberFormat="1" applyFont="1" applyFill="1" applyBorder="1"/>
    <xf numFmtId="6" fontId="13" fillId="5" borderId="1" xfId="2" applyNumberFormat="1" applyFont="1" applyFill="1" applyBorder="1" applyAlignment="1">
      <alignment horizontal="right" vertical="top"/>
    </xf>
    <xf numFmtId="6" fontId="13" fillId="5" borderId="1" xfId="1" applyNumberFormat="1" applyFont="1" applyFill="1" applyBorder="1" applyAlignment="1">
      <alignment horizontal="right" vertical="top"/>
    </xf>
    <xf numFmtId="6" fontId="12" fillId="5" borderId="1" xfId="2" applyNumberFormat="1" applyFont="1" applyFill="1" applyBorder="1" applyAlignment="1">
      <alignment horizontal="right" vertical="top"/>
    </xf>
    <xf numFmtId="166" fontId="8" fillId="5" borderId="26" xfId="0" applyNumberFormat="1" applyFont="1" applyFill="1" applyBorder="1"/>
    <xf numFmtId="166" fontId="6" fillId="7" borderId="27" xfId="0" applyNumberFormat="1" applyFont="1" applyFill="1" applyBorder="1"/>
    <xf numFmtId="0" fontId="6" fillId="2" borderId="28" xfId="1" applyFont="1" applyBorder="1" applyAlignment="1">
      <alignment horizontal="right"/>
    </xf>
    <xf numFmtId="166" fontId="11" fillId="5" borderId="26" xfId="0" applyNumberFormat="1" applyFont="1" applyFill="1" applyBorder="1"/>
    <xf numFmtId="166" fontId="0" fillId="5" borderId="26" xfId="0" applyNumberFormat="1" applyFill="1" applyBorder="1"/>
    <xf numFmtId="166" fontId="18" fillId="5" borderId="26" xfId="2" applyNumberFormat="1" applyFont="1" applyFill="1" applyBorder="1" applyAlignment="1">
      <alignment horizontal="right" vertical="top"/>
    </xf>
    <xf numFmtId="166" fontId="0" fillId="5" borderId="26" xfId="0" applyNumberFormat="1" applyFont="1" applyFill="1" applyBorder="1"/>
    <xf numFmtId="166" fontId="0" fillId="7" borderId="27" xfId="0" applyNumberFormat="1" applyFont="1" applyFill="1" applyBorder="1"/>
    <xf numFmtId="164" fontId="0" fillId="5" borderId="23" xfId="0" applyNumberFormat="1" applyFill="1" applyBorder="1"/>
    <xf numFmtId="164" fontId="5" fillId="5" borderId="23" xfId="1" applyNumberFormat="1" applyFont="1" applyFill="1" applyBorder="1" applyAlignment="1">
      <alignment horizontal="right" vertical="top"/>
    </xf>
    <xf numFmtId="164" fontId="0" fillId="5" borderId="35" xfId="0" applyNumberFormat="1" applyFill="1" applyBorder="1"/>
    <xf numFmtId="164" fontId="5" fillId="5" borderId="35" xfId="1" applyNumberFormat="1" applyFont="1" applyFill="1" applyBorder="1" applyAlignment="1">
      <alignment horizontal="right" vertical="top"/>
    </xf>
    <xf numFmtId="3" fontId="12" fillId="5" borderId="26" xfId="2" applyNumberFormat="1" applyFont="1" applyFill="1" applyBorder="1" applyAlignment="1">
      <alignment horizontal="right" vertical="top"/>
    </xf>
    <xf numFmtId="3" fontId="1" fillId="5" borderId="26" xfId="0" applyNumberFormat="1" applyFont="1" applyFill="1" applyBorder="1" applyAlignment="1"/>
    <xf numFmtId="0" fontId="6" fillId="2" borderId="36" xfId="1" applyFont="1" applyBorder="1" applyAlignment="1">
      <alignment horizontal="right"/>
    </xf>
    <xf numFmtId="166" fontId="13" fillId="5" borderId="26" xfId="2" applyNumberFormat="1" applyFont="1" applyFill="1" applyBorder="1" applyAlignment="1">
      <alignment horizontal="right" vertical="top"/>
    </xf>
    <xf numFmtId="166" fontId="5" fillId="5" borderId="18" xfId="2" applyNumberFormat="1" applyFont="1" applyFill="1" applyBorder="1" applyAlignment="1">
      <alignment horizontal="right" vertical="top"/>
    </xf>
    <xf numFmtId="166" fontId="0" fillId="5" borderId="18" xfId="0" applyNumberFormat="1" applyFont="1" applyFill="1" applyBorder="1"/>
    <xf numFmtId="166" fontId="0" fillId="5" borderId="23" xfId="0" applyNumberFormat="1" applyFont="1" applyFill="1" applyBorder="1"/>
    <xf numFmtId="166" fontId="0" fillId="5" borderId="35" xfId="0" applyNumberFormat="1" applyFont="1" applyFill="1" applyBorder="1"/>
    <xf numFmtId="164" fontId="6" fillId="7" borderId="18" xfId="0" applyNumberFormat="1" applyFont="1" applyFill="1" applyBorder="1"/>
    <xf numFmtId="164" fontId="5" fillId="5" borderId="1" xfId="1" applyNumberFormat="1" applyFont="1" applyFill="1" applyBorder="1" applyAlignment="1">
      <alignment horizontal="right" vertical="top"/>
    </xf>
    <xf numFmtId="164" fontId="5" fillId="5" borderId="19" xfId="1" applyNumberFormat="1" applyFont="1" applyFill="1" applyBorder="1" applyAlignment="1">
      <alignment horizontal="right" vertical="top"/>
    </xf>
    <xf numFmtId="166" fontId="5" fillId="5" borderId="23" xfId="2" applyNumberFormat="1" applyFont="1" applyFill="1" applyBorder="1" applyAlignment="1">
      <alignment horizontal="right" vertical="top"/>
    </xf>
    <xf numFmtId="166" fontId="18" fillId="5" borderId="35" xfId="2" applyNumberFormat="1" applyFont="1" applyFill="1" applyBorder="1" applyAlignment="1">
      <alignment horizontal="right" vertical="top"/>
    </xf>
    <xf numFmtId="166" fontId="5" fillId="5" borderId="18" xfId="1" applyNumberFormat="1" applyFont="1" applyFill="1" applyBorder="1" applyAlignment="1">
      <alignment horizontal="right" vertical="top"/>
    </xf>
    <xf numFmtId="1" fontId="12" fillId="7" borderId="21" xfId="2" applyNumberFormat="1" applyFont="1" applyFill="1" applyBorder="1" applyAlignment="1">
      <alignment horizontal="right" vertical="top"/>
    </xf>
    <xf numFmtId="6" fontId="13" fillId="7" borderId="0" xfId="2" applyNumberFormat="1" applyFont="1" applyFill="1" applyBorder="1" applyAlignment="1">
      <alignment horizontal="right" vertical="top"/>
    </xf>
    <xf numFmtId="6" fontId="13" fillId="7" borderId="21" xfId="2" applyNumberFormat="1" applyFont="1" applyFill="1" applyBorder="1" applyAlignment="1">
      <alignment horizontal="right" vertical="top"/>
    </xf>
    <xf numFmtId="165" fontId="13" fillId="7" borderId="18" xfId="2" applyNumberFormat="1" applyFont="1" applyFill="1" applyBorder="1" applyAlignment="1">
      <alignment horizontal="right" vertical="top"/>
    </xf>
    <xf numFmtId="6" fontId="13" fillId="7" borderId="18" xfId="1" applyNumberFormat="1" applyFont="1" applyFill="1" applyBorder="1" applyAlignment="1">
      <alignment horizontal="right" vertical="top"/>
    </xf>
    <xf numFmtId="6" fontId="12" fillId="5" borderId="23" xfId="1" applyNumberFormat="1" applyFont="1" applyFill="1" applyBorder="1" applyAlignment="1">
      <alignment horizontal="right" vertical="top"/>
    </xf>
    <xf numFmtId="6" fontId="13" fillId="7" borderId="18" xfId="2" applyNumberFormat="1" applyFont="1" applyFill="1" applyBorder="1" applyAlignment="1">
      <alignment horizontal="right" vertical="top"/>
    </xf>
    <xf numFmtId="6" fontId="13" fillId="7" borderId="23" xfId="1" applyNumberFormat="1" applyFont="1" applyFill="1" applyBorder="1" applyAlignment="1">
      <alignment horizontal="right" vertical="top"/>
    </xf>
    <xf numFmtId="166" fontId="12" fillId="5" borderId="18" xfId="2" applyNumberFormat="1" applyFont="1" applyFill="1" applyBorder="1" applyAlignment="1">
      <alignment horizontal="right" vertical="top"/>
    </xf>
    <xf numFmtId="3" fontId="12" fillId="5" borderId="23" xfId="2" applyNumberFormat="1" applyFont="1" applyFill="1" applyBorder="1" applyAlignment="1">
      <alignment horizontal="right" vertical="top"/>
    </xf>
    <xf numFmtId="3" fontId="12" fillId="5" borderId="35" xfId="2" applyNumberFormat="1" applyFont="1" applyFill="1" applyBorder="1" applyAlignment="1">
      <alignment horizontal="right" vertical="top"/>
    </xf>
    <xf numFmtId="6" fontId="13" fillId="7" borderId="35" xfId="1" applyNumberFormat="1" applyFont="1" applyFill="1" applyBorder="1" applyAlignment="1">
      <alignment horizontal="right" vertical="top"/>
    </xf>
    <xf numFmtId="6" fontId="13" fillId="7" borderId="29" xfId="1" applyNumberFormat="1" applyFont="1" applyFill="1" applyBorder="1" applyAlignment="1">
      <alignment horizontal="right" vertical="top"/>
    </xf>
    <xf numFmtId="6" fontId="13" fillId="5" borderId="23" xfId="1" applyNumberFormat="1" applyFont="1" applyFill="1" applyBorder="1" applyAlignment="1">
      <alignment horizontal="right" vertical="top"/>
    </xf>
    <xf numFmtId="165" fontId="6" fillId="7" borderId="18" xfId="0" applyNumberFormat="1" applyFont="1" applyFill="1" applyBorder="1" applyAlignment="1"/>
    <xf numFmtId="165" fontId="13" fillId="7" borderId="10" xfId="2" applyNumberFormat="1" applyFont="1" applyFill="1" applyBorder="1" applyAlignment="1">
      <alignment horizontal="right" vertical="top"/>
    </xf>
    <xf numFmtId="0" fontId="11" fillId="7" borderId="19" xfId="0" applyFont="1" applyFill="1" applyBorder="1" applyAlignment="1"/>
    <xf numFmtId="166" fontId="0" fillId="7" borderId="23" xfId="0" applyNumberFormat="1" applyFill="1" applyBorder="1"/>
    <xf numFmtId="166" fontId="1" fillId="0" borderId="0" xfId="0" applyNumberFormat="1" applyFont="1"/>
    <xf numFmtId="166" fontId="24" fillId="4" borderId="0" xfId="1" applyNumberFormat="1" applyFont="1" applyFill="1" applyBorder="1" applyAlignment="1">
      <alignment horizontal="center" wrapText="1"/>
    </xf>
    <xf numFmtId="166" fontId="6" fillId="7" borderId="39" xfId="0" applyNumberFormat="1" applyFont="1" applyFill="1" applyBorder="1"/>
    <xf numFmtId="166" fontId="26" fillId="6" borderId="9" xfId="1" applyNumberFormat="1" applyFont="1" applyFill="1" applyBorder="1" applyAlignment="1">
      <alignment horizontal="center" wrapText="1"/>
    </xf>
    <xf numFmtId="6" fontId="0" fillId="0" borderId="0" xfId="0" applyNumberFormat="1"/>
    <xf numFmtId="0" fontId="6" fillId="5" borderId="28" xfId="1" applyFont="1" applyFill="1" applyBorder="1" applyAlignment="1"/>
    <xf numFmtId="0" fontId="6" fillId="7" borderId="14" xfId="1" applyFont="1" applyFill="1" applyBorder="1" applyAlignment="1"/>
    <xf numFmtId="166" fontId="6" fillId="5" borderId="26" xfId="0" applyNumberFormat="1" applyFont="1" applyFill="1" applyBorder="1"/>
    <xf numFmtId="0" fontId="2" fillId="4" borderId="40" xfId="1" applyFont="1" applyFill="1" applyBorder="1" applyAlignment="1">
      <alignment horizontal="center" wrapText="1"/>
    </xf>
    <xf numFmtId="6" fontId="13" fillId="7" borderId="34" xfId="2" applyNumberFormat="1" applyFont="1" applyFill="1" applyBorder="1" applyAlignment="1">
      <alignment horizontal="right" vertical="top"/>
    </xf>
    <xf numFmtId="6" fontId="14" fillId="7" borderId="41" xfId="1" applyNumberFormat="1" applyFont="1" applyFill="1" applyBorder="1" applyAlignment="1">
      <alignment horizontal="right" vertical="top"/>
    </xf>
    <xf numFmtId="166" fontId="0" fillId="0" borderId="43" xfId="0" applyNumberFormat="1" applyBorder="1"/>
    <xf numFmtId="166" fontId="0" fillId="0" borderId="32" xfId="0" applyNumberFormat="1" applyBorder="1"/>
    <xf numFmtId="166" fontId="10" fillId="0" borderId="43" xfId="0" applyNumberFormat="1" applyFont="1" applyBorder="1"/>
    <xf numFmtId="6" fontId="25" fillId="0" borderId="38" xfId="1" applyNumberFormat="1" applyFont="1" applyFill="1" applyBorder="1" applyAlignment="1">
      <alignment horizontal="right" vertical="top"/>
    </xf>
    <xf numFmtId="166" fontId="10" fillId="0" borderId="32" xfId="0" applyNumberFormat="1" applyFont="1" applyBorder="1"/>
    <xf numFmtId="166" fontId="10" fillId="6" borderId="43" xfId="0" applyNumberFormat="1" applyFont="1" applyFill="1" applyBorder="1" applyAlignment="1">
      <alignment horizontal="center"/>
    </xf>
    <xf numFmtId="166" fontId="0" fillId="0" borderId="12" xfId="0" applyNumberFormat="1" applyFill="1" applyBorder="1"/>
    <xf numFmtId="166" fontId="5" fillId="0" borderId="1" xfId="2" applyNumberFormat="1" applyFont="1" applyFill="1" applyBorder="1" applyAlignment="1">
      <alignment horizontal="right" vertical="top"/>
    </xf>
    <xf numFmtId="166" fontId="20" fillId="0" borderId="1" xfId="2" applyNumberFormat="1" applyFont="1" applyFill="1" applyBorder="1" applyAlignment="1">
      <alignment horizontal="right" vertical="top"/>
    </xf>
    <xf numFmtId="166" fontId="5" fillId="0" borderId="19" xfId="2" applyNumberFormat="1" applyFont="1" applyFill="1" applyBorder="1" applyAlignment="1">
      <alignment horizontal="right" vertical="top"/>
    </xf>
    <xf numFmtId="166" fontId="19" fillId="0" borderId="26" xfId="0" applyNumberFormat="1" applyFont="1" applyFill="1" applyBorder="1"/>
    <xf numFmtId="166" fontId="27" fillId="0" borderId="1" xfId="0" applyNumberFormat="1" applyFont="1" applyFill="1" applyBorder="1"/>
    <xf numFmtId="166" fontId="21" fillId="0" borderId="26" xfId="2" applyNumberFormat="1" applyFont="1" applyFill="1" applyBorder="1" applyAlignment="1">
      <alignment horizontal="right" vertical="top"/>
    </xf>
    <xf numFmtId="166" fontId="20" fillId="0" borderId="19" xfId="2" applyNumberFormat="1" applyFont="1" applyFill="1" applyBorder="1" applyAlignment="1">
      <alignment horizontal="right" vertical="top"/>
    </xf>
    <xf numFmtId="166" fontId="5" fillId="0" borderId="1" xfId="1" applyNumberFormat="1" applyFont="1" applyFill="1" applyBorder="1" applyAlignment="1">
      <alignment horizontal="right" vertical="top"/>
    </xf>
    <xf numFmtId="166" fontId="0" fillId="0" borderId="1" xfId="0" applyNumberFormat="1" applyFill="1" applyBorder="1"/>
    <xf numFmtId="166" fontId="22" fillId="0" borderId="1" xfId="2" applyNumberFormat="1" applyFont="1" applyFill="1" applyBorder="1" applyAlignment="1">
      <alignment horizontal="right" vertical="top"/>
    </xf>
    <xf numFmtId="166" fontId="22" fillId="0" borderId="19" xfId="2" applyNumberFormat="1" applyFont="1" applyFill="1" applyBorder="1" applyAlignment="1">
      <alignment horizontal="right" vertical="top"/>
    </xf>
    <xf numFmtId="166" fontId="23" fillId="0" borderId="26" xfId="2" applyNumberFormat="1" applyFont="1" applyFill="1" applyBorder="1" applyAlignment="1">
      <alignment horizontal="right" vertical="top"/>
    </xf>
    <xf numFmtId="166" fontId="12" fillId="0" borderId="19" xfId="2" applyNumberFormat="1" applyFont="1" applyFill="1" applyBorder="1" applyAlignment="1">
      <alignment horizontal="right" vertical="top"/>
    </xf>
    <xf numFmtId="166" fontId="0" fillId="0" borderId="19" xfId="0" applyNumberFormat="1" applyFill="1" applyBorder="1"/>
    <xf numFmtId="166" fontId="0" fillId="0" borderId="26" xfId="0" applyNumberFormat="1" applyFill="1" applyBorder="1"/>
    <xf numFmtId="166" fontId="12" fillId="0" borderId="1" xfId="2" applyNumberFormat="1" applyFont="1" applyFill="1" applyBorder="1" applyAlignment="1">
      <alignment horizontal="right" vertical="top"/>
    </xf>
    <xf numFmtId="166" fontId="23" fillId="0" borderId="24" xfId="1" applyNumberFormat="1" applyFont="1" applyFill="1" applyBorder="1" applyAlignment="1">
      <alignment horizontal="right" vertical="top"/>
    </xf>
    <xf numFmtId="166" fontId="17" fillId="0" borderId="24" xfId="0" applyNumberFormat="1" applyFont="1" applyFill="1" applyBorder="1"/>
    <xf numFmtId="166" fontId="0" fillId="7" borderId="44" xfId="0" applyNumberFormat="1" applyFill="1" applyBorder="1"/>
    <xf numFmtId="166" fontId="0" fillId="0" borderId="44" xfId="0" applyNumberFormat="1" applyFill="1" applyBorder="1"/>
    <xf numFmtId="166" fontId="10" fillId="0" borderId="42" xfId="0" applyNumberFormat="1" applyFont="1" applyBorder="1"/>
    <xf numFmtId="166" fontId="10" fillId="0" borderId="45" xfId="0" applyNumberFormat="1" applyFont="1" applyBorder="1"/>
    <xf numFmtId="166" fontId="0" fillId="0" borderId="33" xfId="0" applyNumberFormat="1" applyBorder="1"/>
    <xf numFmtId="166" fontId="5" fillId="0" borderId="18" xfId="2" applyNumberFormat="1" applyFont="1" applyFill="1" applyBorder="1" applyAlignment="1">
      <alignment horizontal="right" vertical="top"/>
    </xf>
    <xf numFmtId="166" fontId="19" fillId="5" borderId="18" xfId="0" applyNumberFormat="1" applyFont="1" applyFill="1" applyBorder="1"/>
    <xf numFmtId="164" fontId="6" fillId="5" borderId="18" xfId="0" applyNumberFormat="1" applyFont="1" applyFill="1" applyBorder="1"/>
    <xf numFmtId="166" fontId="6" fillId="5" borderId="18" xfId="0" applyNumberFormat="1" applyFont="1" applyFill="1" applyBorder="1"/>
    <xf numFmtId="166" fontId="27" fillId="0" borderId="18" xfId="0" applyNumberFormat="1" applyFont="1" applyFill="1" applyBorder="1"/>
    <xf numFmtId="0" fontId="19" fillId="0" borderId="5" xfId="0" applyFont="1" applyBorder="1" applyAlignment="1">
      <alignment horizontal="left"/>
    </xf>
    <xf numFmtId="6" fontId="12" fillId="0" borderId="24" xfId="2" applyNumberFormat="1" applyFont="1" applyFill="1" applyBorder="1" applyAlignment="1">
      <alignment horizontal="right" vertical="top"/>
    </xf>
    <xf numFmtId="6" fontId="12" fillId="0" borderId="24" xfId="1" applyNumberFormat="1" applyFont="1" applyFill="1" applyBorder="1" applyAlignment="1">
      <alignment horizontal="right" vertical="top"/>
    </xf>
    <xf numFmtId="166" fontId="12" fillId="0" borderId="24" xfId="1" applyNumberFormat="1" applyFont="1" applyFill="1" applyBorder="1" applyAlignment="1">
      <alignment horizontal="right" vertical="top"/>
    </xf>
    <xf numFmtId="6" fontId="16" fillId="0" borderId="37" xfId="2" applyNumberFormat="1" applyFont="1" applyFill="1" applyBorder="1" applyAlignment="1">
      <alignment horizontal="right" vertical="top"/>
    </xf>
    <xf numFmtId="0" fontId="19" fillId="0" borderId="31" xfId="1" applyFont="1" applyFill="1" applyBorder="1" applyAlignment="1">
      <alignment horizontal="right"/>
    </xf>
    <xf numFmtId="6" fontId="13" fillId="5" borderId="18" xfId="1" applyNumberFormat="1" applyFont="1" applyFill="1" applyBorder="1" applyAlignment="1">
      <alignment horizontal="right" vertical="top"/>
    </xf>
    <xf numFmtId="0" fontId="6" fillId="5" borderId="46" xfId="1" applyFont="1" applyFill="1" applyBorder="1" applyAlignment="1">
      <alignment horizontal="right"/>
    </xf>
    <xf numFmtId="6" fontId="12" fillId="5" borderId="47" xfId="2" applyNumberFormat="1" applyFont="1" applyFill="1" applyBorder="1" applyAlignment="1">
      <alignment horizontal="right" vertical="top"/>
    </xf>
    <xf numFmtId="6" fontId="12" fillId="5" borderId="47" xfId="1" applyNumberFormat="1" applyFont="1" applyFill="1" applyBorder="1" applyAlignment="1">
      <alignment horizontal="right" vertical="top"/>
    </xf>
    <xf numFmtId="166" fontId="12" fillId="5" borderId="47" xfId="1" applyNumberFormat="1" applyFont="1" applyFill="1" applyBorder="1" applyAlignment="1">
      <alignment horizontal="right" vertical="top"/>
    </xf>
    <xf numFmtId="166" fontId="23" fillId="0" borderId="47" xfId="1" applyNumberFormat="1" applyFont="1" applyFill="1" applyBorder="1" applyAlignment="1">
      <alignment horizontal="right" vertical="top"/>
    </xf>
    <xf numFmtId="6" fontId="16" fillId="7" borderId="48" xfId="2" applyNumberFormat="1" applyFont="1" applyFill="1" applyBorder="1" applyAlignment="1">
      <alignment horizontal="right" vertical="top"/>
    </xf>
    <xf numFmtId="166" fontId="0" fillId="0" borderId="49" xfId="0" applyNumberFormat="1" applyBorder="1"/>
    <xf numFmtId="166" fontId="0" fillId="0" borderId="45" xfId="0" applyNumberFormat="1" applyBorder="1"/>
    <xf numFmtId="0" fontId="0" fillId="2" borderId="0" xfId="1" applyFont="1" applyBorder="1" applyAlignment="1"/>
    <xf numFmtId="166" fontId="8" fillId="5" borderId="18" xfId="0" applyNumberFormat="1" applyFont="1" applyFill="1" applyBorder="1"/>
    <xf numFmtId="164" fontId="8" fillId="5" borderId="18" xfId="0" applyNumberFormat="1" applyFont="1" applyFill="1" applyBorder="1"/>
    <xf numFmtId="0" fontId="29" fillId="4" borderId="9" xfId="1" applyFont="1" applyFill="1" applyBorder="1" applyAlignment="1">
      <alignment horizontal="center" wrapText="1"/>
    </xf>
    <xf numFmtId="3" fontId="12" fillId="5" borderId="1" xfId="2" applyNumberFormat="1" applyFont="1" applyFill="1" applyBorder="1" applyAlignment="1">
      <alignment horizontal="right" vertical="top"/>
    </xf>
    <xf numFmtId="3" fontId="12" fillId="5" borderId="18" xfId="2" applyNumberFormat="1" applyFont="1" applyFill="1" applyBorder="1" applyAlignment="1">
      <alignment horizontal="right" vertical="top"/>
    </xf>
    <xf numFmtId="3" fontId="30" fillId="7" borderId="35" xfId="2" applyNumberFormat="1" applyFont="1" applyFill="1" applyBorder="1" applyAlignment="1">
      <alignment horizontal="right" vertical="top"/>
    </xf>
    <xf numFmtId="3" fontId="1" fillId="5" borderId="1" xfId="0" applyNumberFormat="1" applyFont="1" applyFill="1" applyBorder="1" applyAlignment="1"/>
    <xf numFmtId="0" fontId="0" fillId="0" borderId="0" xfId="0" applyFill="1" applyBorder="1"/>
    <xf numFmtId="166" fontId="0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right" vertical="top"/>
    </xf>
    <xf numFmtId="166" fontId="28" fillId="7" borderId="26" xfId="0" applyNumberFormat="1" applyFont="1" applyFill="1" applyBorder="1"/>
    <xf numFmtId="166" fontId="28" fillId="7" borderId="35" xfId="0" applyNumberFormat="1" applyFont="1" applyFill="1" applyBorder="1"/>
    <xf numFmtId="164" fontId="28" fillId="7" borderId="15" xfId="0" applyNumberFormat="1" applyFont="1" applyFill="1" applyBorder="1"/>
    <xf numFmtId="166" fontId="0" fillId="0" borderId="0" xfId="0" applyNumberFormat="1" applyBorder="1"/>
    <xf numFmtId="168" fontId="13" fillId="7" borderId="1" xfId="2" applyNumberFormat="1" applyFont="1" applyFill="1" applyBorder="1" applyAlignment="1">
      <alignment horizontal="right" vertical="top"/>
    </xf>
    <xf numFmtId="0" fontId="11" fillId="2" borderId="30" xfId="1" applyFont="1" applyBorder="1" applyAlignment="1"/>
    <xf numFmtId="0" fontId="11" fillId="2" borderId="5" xfId="1" applyFont="1" applyBorder="1" applyAlignment="1"/>
    <xf numFmtId="0" fontId="11" fillId="2" borderId="17" xfId="1" applyFont="1" applyBorder="1" applyAlignment="1"/>
    <xf numFmtId="0" fontId="11" fillId="2" borderId="28" xfId="1" applyFont="1" applyBorder="1" applyAlignment="1"/>
    <xf numFmtId="166" fontId="28" fillId="7" borderId="0" xfId="0" applyNumberFormat="1" applyFont="1" applyFill="1" applyBorder="1"/>
    <xf numFmtId="166" fontId="0" fillId="7" borderId="0" xfId="0" applyNumberFormat="1" applyFont="1" applyFill="1" applyBorder="1"/>
    <xf numFmtId="166" fontId="28" fillId="7" borderId="51" xfId="0" applyNumberFormat="1" applyFont="1" applyFill="1" applyBorder="1"/>
    <xf numFmtId="1" fontId="13" fillId="7" borderId="1" xfId="2" applyNumberFormat="1" applyFont="1" applyFill="1" applyBorder="1" applyAlignment="1">
      <alignment horizontal="right" vertical="top"/>
    </xf>
    <xf numFmtId="167" fontId="19" fillId="2" borderId="0" xfId="0" applyNumberFormat="1" applyFont="1" applyFill="1" applyBorder="1"/>
    <xf numFmtId="0" fontId="19" fillId="0" borderId="0" xfId="0" applyFont="1" applyBorder="1" applyAlignment="1">
      <alignment horizontal="right"/>
    </xf>
    <xf numFmtId="0" fontId="6" fillId="7" borderId="31" xfId="1" applyFont="1" applyFill="1" applyBorder="1" applyAlignment="1"/>
    <xf numFmtId="6" fontId="14" fillId="7" borderId="24" xfId="1" applyNumberFormat="1" applyFont="1" applyFill="1" applyBorder="1" applyAlignment="1">
      <alignment horizontal="right" vertical="top"/>
    </xf>
    <xf numFmtId="6" fontId="25" fillId="0" borderId="0" xfId="1" applyNumberFormat="1" applyFont="1" applyFill="1" applyBorder="1" applyAlignment="1">
      <alignment horizontal="right" vertical="top"/>
    </xf>
    <xf numFmtId="0" fontId="19" fillId="0" borderId="0" xfId="1" applyFont="1" applyFill="1" applyBorder="1" applyAlignment="1">
      <alignment horizontal="left"/>
    </xf>
    <xf numFmtId="6" fontId="12" fillId="0" borderId="0" xfId="2" applyNumberFormat="1" applyFont="1" applyFill="1" applyBorder="1" applyAlignment="1">
      <alignment horizontal="right" vertical="top"/>
    </xf>
    <xf numFmtId="6" fontId="12" fillId="0" borderId="0" xfId="1" applyNumberFormat="1" applyFont="1" applyFill="1" applyBorder="1" applyAlignment="1">
      <alignment horizontal="right" vertical="top"/>
    </xf>
    <xf numFmtId="6" fontId="16" fillId="0" borderId="0" xfId="2" applyNumberFormat="1" applyFont="1" applyFill="1" applyBorder="1" applyAlignment="1">
      <alignment horizontal="right" vertical="top"/>
    </xf>
    <xf numFmtId="0" fontId="1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66" fontId="28" fillId="7" borderId="21" xfId="0" applyNumberFormat="1" applyFont="1" applyFill="1" applyBorder="1"/>
    <xf numFmtId="164" fontId="28" fillId="7" borderId="23" xfId="0" applyNumberFormat="1" applyFont="1" applyFill="1" applyBorder="1"/>
    <xf numFmtId="0" fontId="6" fillId="2" borderId="52" xfId="1" applyFont="1" applyBorder="1" applyAlignment="1"/>
    <xf numFmtId="166" fontId="24" fillId="4" borderId="25" xfId="1" applyNumberFormat="1" applyFont="1" applyFill="1" applyBorder="1" applyAlignment="1">
      <alignment horizontal="center" wrapText="1"/>
    </xf>
    <xf numFmtId="0" fontId="0" fillId="5" borderId="1" xfId="0" applyFill="1" applyBorder="1"/>
    <xf numFmtId="166" fontId="28" fillId="7" borderId="53" xfId="0" applyNumberFormat="1" applyFont="1" applyFill="1" applyBorder="1"/>
    <xf numFmtId="166" fontId="6" fillId="7" borderId="0" xfId="0" applyNumberFormat="1" applyFont="1" applyFill="1" applyBorder="1"/>
    <xf numFmtId="166" fontId="6" fillId="7" borderId="50" xfId="0" applyNumberFormat="1" applyFont="1" applyFill="1" applyBorder="1"/>
    <xf numFmtId="166" fontId="28" fillId="7" borderId="50" xfId="0" applyNumberFormat="1" applyFont="1" applyFill="1" applyBorder="1"/>
    <xf numFmtId="166" fontId="8" fillId="7" borderId="0" xfId="0" applyNumberFormat="1" applyFont="1" applyFill="1" applyBorder="1"/>
    <xf numFmtId="166" fontId="0" fillId="7" borderId="50" xfId="0" applyNumberFormat="1" applyFont="1" applyFill="1" applyBorder="1"/>
    <xf numFmtId="166" fontId="6" fillId="7" borderId="21" xfId="0" applyNumberFormat="1" applyFont="1" applyFill="1" applyBorder="1"/>
    <xf numFmtId="166" fontId="28" fillId="7" borderId="37" xfId="0" applyNumberFormat="1" applyFont="1" applyFill="1" applyBorder="1"/>
    <xf numFmtId="6" fontId="25" fillId="0" borderId="45" xfId="1" applyNumberFormat="1" applyFont="1" applyFill="1" applyBorder="1" applyAlignment="1">
      <alignment horizontal="right" vertical="top"/>
    </xf>
    <xf numFmtId="166" fontId="10" fillId="0" borderId="33" xfId="0" applyNumberFormat="1" applyFont="1" applyBorder="1"/>
    <xf numFmtId="166" fontId="10" fillId="6" borderId="42" xfId="0" applyNumberFormat="1" applyFont="1" applyFill="1" applyBorder="1" applyAlignment="1">
      <alignment horizontal="center"/>
    </xf>
    <xf numFmtId="0" fontId="1" fillId="2" borderId="5" xfId="1" applyFont="1" applyBorder="1" applyAlignment="1"/>
    <xf numFmtId="168" fontId="14" fillId="7" borderId="37" xfId="1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left"/>
    </xf>
    <xf numFmtId="166" fontId="28" fillId="0" borderId="0" xfId="0" applyNumberFormat="1" applyFont="1"/>
    <xf numFmtId="6" fontId="14" fillId="0" borderId="0" xfId="1" applyNumberFormat="1" applyFont="1" applyFill="1" applyBorder="1" applyAlignment="1">
      <alignment horizontal="right" vertical="top"/>
    </xf>
    <xf numFmtId="168" fontId="14" fillId="0" borderId="0" xfId="1" applyNumberFormat="1" applyFont="1" applyFill="1" applyBorder="1" applyAlignment="1">
      <alignment horizontal="right" vertical="top"/>
    </xf>
    <xf numFmtId="166" fontId="10" fillId="0" borderId="26" xfId="0" applyNumberFormat="1" applyFont="1" applyBorder="1"/>
  </cellXfs>
  <cellStyles count="16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Hyperlink" xfId="2" builtinId="8"/>
    <cellStyle name="Normal" xfId="0" builtinId="0"/>
    <cellStyle name="Normal 2" xfId="1" xr:uid="{00000000-0005-0000-0000-0000A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baseColWidth="10" defaultRowHeight="15" x14ac:dyDescent="0.2"/>
  <cols>
    <col min="1" max="1" width="2.5" customWidth="1"/>
    <col min="2" max="2" width="27.83203125" customWidth="1"/>
    <col min="3" max="3" width="9.33203125" customWidth="1"/>
    <col min="4" max="4" width="11.1640625" customWidth="1"/>
    <col min="5" max="5" width="9.33203125" customWidth="1"/>
    <col min="6" max="6" width="10.6640625" customWidth="1"/>
    <col min="7" max="7" width="12.5" customWidth="1"/>
    <col min="8" max="8" width="11.5" style="9" customWidth="1"/>
  </cols>
  <sheetData>
    <row r="1" spans="1:12" s="19" customFormat="1" ht="21" customHeight="1" thickBot="1" x14ac:dyDescent="0.25">
      <c r="A1" s="44"/>
      <c r="B1" s="45" t="s">
        <v>101</v>
      </c>
      <c r="C1" s="46"/>
      <c r="D1" s="46"/>
      <c r="E1" s="46"/>
      <c r="F1" s="46"/>
      <c r="G1" s="46"/>
      <c r="H1" s="130"/>
    </row>
    <row r="2" spans="1:12" ht="30" customHeight="1" thickBot="1" x14ac:dyDescent="0.25">
      <c r="B2" s="1" t="s">
        <v>35</v>
      </c>
      <c r="C2" s="6" t="s">
        <v>7</v>
      </c>
      <c r="D2" s="2" t="s">
        <v>2</v>
      </c>
      <c r="E2" s="2" t="s">
        <v>4</v>
      </c>
      <c r="F2" s="2" t="s">
        <v>102</v>
      </c>
      <c r="G2" s="194" t="s">
        <v>105</v>
      </c>
      <c r="H2" s="230" t="s">
        <v>104</v>
      </c>
    </row>
    <row r="3" spans="1:12" ht="14" customHeight="1" x14ac:dyDescent="0.2">
      <c r="B3" s="229" t="s">
        <v>10</v>
      </c>
      <c r="C3" s="202">
        <f>SUM(C4:C6)</f>
        <v>11750</v>
      </c>
      <c r="D3" s="202">
        <f>SUM(D4:D6)</f>
        <v>11250</v>
      </c>
      <c r="E3" s="202">
        <f>SUM(E4:E6)</f>
        <v>11250</v>
      </c>
      <c r="F3" s="202">
        <f>SUM(F4:F6)</f>
        <v>7750</v>
      </c>
      <c r="G3" s="232">
        <f>SUM(C3:F3)</f>
        <v>42000</v>
      </c>
      <c r="H3" s="249">
        <v>38000</v>
      </c>
    </row>
    <row r="4" spans="1:12" ht="13" customHeight="1" x14ac:dyDescent="0.2">
      <c r="B4" s="8" t="s">
        <v>76</v>
      </c>
      <c r="C4" s="11">
        <v>6500</v>
      </c>
      <c r="D4" s="11">
        <v>4000</v>
      </c>
      <c r="E4" s="11">
        <v>4000</v>
      </c>
      <c r="F4" s="11">
        <v>3500</v>
      </c>
      <c r="G4" s="233"/>
      <c r="H4" s="141"/>
    </row>
    <row r="5" spans="1:12" ht="13" customHeight="1" x14ac:dyDescent="0.2">
      <c r="B5" s="8" t="s">
        <v>91</v>
      </c>
      <c r="C5" s="20">
        <v>2500</v>
      </c>
      <c r="D5" s="20">
        <v>3500</v>
      </c>
      <c r="E5" s="20">
        <v>3500</v>
      </c>
      <c r="F5" s="20">
        <v>2500</v>
      </c>
      <c r="G5" s="233"/>
      <c r="H5" s="141"/>
      <c r="L5" t="s">
        <v>77</v>
      </c>
    </row>
    <row r="6" spans="1:12" ht="13" customHeight="1" x14ac:dyDescent="0.2">
      <c r="B6" s="13" t="s">
        <v>92</v>
      </c>
      <c r="C6" s="21">
        <v>2750</v>
      </c>
      <c r="D6" s="21">
        <v>3750</v>
      </c>
      <c r="E6" s="21">
        <v>3750</v>
      </c>
      <c r="F6" s="21">
        <v>1750</v>
      </c>
      <c r="G6" s="234"/>
      <c r="H6" s="142"/>
    </row>
    <row r="7" spans="1:12" ht="13" customHeight="1" x14ac:dyDescent="0.2">
      <c r="B7" s="74" t="s">
        <v>23</v>
      </c>
      <c r="C7" s="202">
        <f>SUM(C8:C9)</f>
        <v>2350</v>
      </c>
      <c r="D7" s="202">
        <f>SUM(D8:D9)</f>
        <v>2350</v>
      </c>
      <c r="E7" s="202">
        <f>SUM(E8:E9)</f>
        <v>2350</v>
      </c>
      <c r="F7" s="202">
        <f>SUM(F8:F9)</f>
        <v>2350</v>
      </c>
      <c r="G7" s="235">
        <f>SUM(C7:F7)</f>
        <v>9400</v>
      </c>
      <c r="H7" s="249">
        <v>9700</v>
      </c>
    </row>
    <row r="8" spans="1:12" ht="13" customHeight="1" x14ac:dyDescent="0.2">
      <c r="B8" s="8" t="s">
        <v>95</v>
      </c>
      <c r="C8" s="11">
        <v>1350</v>
      </c>
      <c r="D8" s="11">
        <v>1350</v>
      </c>
      <c r="E8" s="11">
        <v>1350</v>
      </c>
      <c r="F8" s="11">
        <v>1350</v>
      </c>
      <c r="G8" s="233"/>
      <c r="H8" s="141"/>
    </row>
    <row r="9" spans="1:12" ht="13" customHeight="1" x14ac:dyDescent="0.2">
      <c r="B9" s="13" t="s">
        <v>96</v>
      </c>
      <c r="C9" s="22">
        <v>1000</v>
      </c>
      <c r="D9" s="22">
        <v>1000</v>
      </c>
      <c r="E9" s="22">
        <v>1000</v>
      </c>
      <c r="F9" s="22">
        <v>1000</v>
      </c>
      <c r="G9" s="234"/>
      <c r="H9" s="141"/>
    </row>
    <row r="10" spans="1:12" ht="13" customHeight="1" x14ac:dyDescent="0.2">
      <c r="B10" s="74" t="s">
        <v>11</v>
      </c>
      <c r="C10" s="203">
        <f>SUM(C11:C19)</f>
        <v>13250</v>
      </c>
      <c r="D10" s="203">
        <f>SUM(D11:D18)</f>
        <v>38500</v>
      </c>
      <c r="E10" s="203">
        <f>SUM(E11:E19)</f>
        <v>19250</v>
      </c>
      <c r="F10" s="203">
        <f>SUM(F11:F18)</f>
        <v>2000</v>
      </c>
      <c r="G10" s="213">
        <f>SUM(C10:F10)</f>
        <v>73000</v>
      </c>
      <c r="H10" s="249">
        <v>65000</v>
      </c>
    </row>
    <row r="11" spans="1:12" ht="13" customHeight="1" x14ac:dyDescent="0.2">
      <c r="B11" s="8" t="s">
        <v>38</v>
      </c>
      <c r="C11" s="49">
        <v>1000</v>
      </c>
      <c r="D11" s="49">
        <v>1000</v>
      </c>
      <c r="E11" s="49">
        <v>1500</v>
      </c>
      <c r="F11" s="49">
        <v>500</v>
      </c>
      <c r="G11" s="212"/>
      <c r="H11" s="141"/>
    </row>
    <row r="12" spans="1:12" ht="13" customHeight="1" x14ac:dyDescent="0.2">
      <c r="B12" s="8" t="s">
        <v>78</v>
      </c>
      <c r="C12" s="48">
        <v>3000</v>
      </c>
      <c r="D12" s="49"/>
      <c r="E12" s="49">
        <v>3000</v>
      </c>
      <c r="F12" s="103"/>
      <c r="G12" s="212"/>
      <c r="H12" s="141"/>
    </row>
    <row r="13" spans="1:12" ht="13" customHeight="1" x14ac:dyDescent="0.2">
      <c r="B13" s="8" t="s">
        <v>39</v>
      </c>
      <c r="C13" s="49">
        <v>2500</v>
      </c>
      <c r="D13" s="49">
        <v>3500</v>
      </c>
      <c r="E13" s="49">
        <v>3000</v>
      </c>
      <c r="F13" s="49">
        <v>1000</v>
      </c>
      <c r="G13" s="212"/>
      <c r="H13" s="141"/>
    </row>
    <row r="14" spans="1:12" ht="13" customHeight="1" x14ac:dyDescent="0.2">
      <c r="B14" s="8" t="s">
        <v>80</v>
      </c>
      <c r="C14" s="49">
        <v>0</v>
      </c>
      <c r="D14" s="49"/>
      <c r="E14" s="49">
        <v>10000</v>
      </c>
      <c r="F14" s="103"/>
      <c r="G14" s="212"/>
      <c r="H14" s="141"/>
    </row>
    <row r="15" spans="1:12" ht="13" customHeight="1" x14ac:dyDescent="0.2">
      <c r="B15" s="8" t="s">
        <v>81</v>
      </c>
      <c r="C15" s="103">
        <v>0</v>
      </c>
      <c r="D15" s="103">
        <v>4000</v>
      </c>
      <c r="E15" s="103"/>
      <c r="F15" s="103"/>
      <c r="G15" s="212"/>
      <c r="H15" s="141"/>
    </row>
    <row r="16" spans="1:12" ht="13" customHeight="1" x14ac:dyDescent="0.2">
      <c r="B16" s="8" t="s">
        <v>79</v>
      </c>
      <c r="C16" s="49">
        <v>4500</v>
      </c>
      <c r="D16" s="49">
        <v>2000</v>
      </c>
      <c r="E16" s="49">
        <v>500</v>
      </c>
      <c r="F16" s="49">
        <v>500</v>
      </c>
      <c r="G16" s="212"/>
      <c r="H16" s="141"/>
    </row>
    <row r="17" spans="1:8" ht="13" customHeight="1" x14ac:dyDescent="0.2">
      <c r="B17" s="8" t="s">
        <v>90</v>
      </c>
      <c r="C17" s="192"/>
      <c r="D17" s="193">
        <v>6000</v>
      </c>
      <c r="E17" s="193"/>
      <c r="F17" s="193"/>
      <c r="G17" s="236"/>
      <c r="H17" s="141"/>
    </row>
    <row r="18" spans="1:8" ht="13" customHeight="1" x14ac:dyDescent="0.2">
      <c r="B18" s="8" t="s">
        <v>94</v>
      </c>
      <c r="C18" s="48">
        <v>1000</v>
      </c>
      <c r="D18" s="103">
        <v>22000</v>
      </c>
      <c r="E18" s="49"/>
      <c r="F18" s="103"/>
      <c r="G18" s="212"/>
      <c r="H18" s="141"/>
    </row>
    <row r="19" spans="1:8" ht="13" customHeight="1" x14ac:dyDescent="0.2">
      <c r="B19" s="13" t="s">
        <v>93</v>
      </c>
      <c r="C19" s="104">
        <v>1250</v>
      </c>
      <c r="D19" s="104">
        <v>1250</v>
      </c>
      <c r="E19" s="104">
        <v>1250</v>
      </c>
      <c r="F19" s="104">
        <v>1250</v>
      </c>
      <c r="G19" s="237"/>
      <c r="H19" s="142"/>
    </row>
    <row r="20" spans="1:8" ht="13" customHeight="1" x14ac:dyDescent="0.2">
      <c r="B20" s="74" t="s">
        <v>12</v>
      </c>
      <c r="C20" s="228">
        <f>SUM(C21:C25)</f>
        <v>3850</v>
      </c>
      <c r="D20" s="228">
        <f>SUM(D21:D25)</f>
        <v>1550</v>
      </c>
      <c r="E20" s="228">
        <f>SUM(E21:E25)</f>
        <v>1550</v>
      </c>
      <c r="F20" s="228">
        <f>SUM(F21:F25)</f>
        <v>1550</v>
      </c>
      <c r="G20" s="235">
        <f>SUM(C20:F20)</f>
        <v>8500</v>
      </c>
      <c r="H20" s="249">
        <v>10000</v>
      </c>
    </row>
    <row r="21" spans="1:8" ht="13" customHeight="1" x14ac:dyDescent="0.2">
      <c r="B21" s="8" t="s">
        <v>84</v>
      </c>
      <c r="C21" s="64">
        <v>1450</v>
      </c>
      <c r="D21" s="64">
        <v>650</v>
      </c>
      <c r="E21" s="64">
        <v>650</v>
      </c>
      <c r="F21" s="64">
        <v>650</v>
      </c>
      <c r="G21" s="233"/>
      <c r="H21" s="141"/>
    </row>
    <row r="22" spans="1:8" ht="13" customHeight="1" x14ac:dyDescent="0.2">
      <c r="B22" s="8" t="s">
        <v>82</v>
      </c>
      <c r="C22" s="64">
        <v>500</v>
      </c>
      <c r="D22" s="107"/>
      <c r="E22" s="23"/>
      <c r="F22" s="231"/>
      <c r="G22" s="233"/>
      <c r="H22" s="141"/>
    </row>
    <row r="23" spans="1:8" ht="13" customHeight="1" x14ac:dyDescent="0.2">
      <c r="B23" s="8" t="s">
        <v>83</v>
      </c>
      <c r="C23" s="64">
        <v>1500</v>
      </c>
      <c r="D23" s="64">
        <v>500</v>
      </c>
      <c r="E23" s="64">
        <v>500</v>
      </c>
      <c r="F23" s="64">
        <v>500</v>
      </c>
      <c r="G23" s="233"/>
      <c r="H23" s="141"/>
    </row>
    <row r="24" spans="1:8" ht="13" customHeight="1" x14ac:dyDescent="0.2">
      <c r="B24" s="8" t="s">
        <v>28</v>
      </c>
      <c r="C24" s="64">
        <v>250</v>
      </c>
      <c r="D24" s="64">
        <v>250</v>
      </c>
      <c r="E24" s="64">
        <v>250</v>
      </c>
      <c r="F24" s="64">
        <v>250</v>
      </c>
      <c r="G24" s="233"/>
      <c r="H24" s="141"/>
    </row>
    <row r="25" spans="1:8" ht="13" customHeight="1" x14ac:dyDescent="0.2">
      <c r="B25" s="13" t="s">
        <v>51</v>
      </c>
      <c r="C25" s="94">
        <v>150</v>
      </c>
      <c r="D25" s="94">
        <v>150</v>
      </c>
      <c r="E25" s="94">
        <v>150</v>
      </c>
      <c r="F25" s="94">
        <v>150</v>
      </c>
      <c r="G25" s="238"/>
      <c r="H25" s="141" t="s">
        <v>77</v>
      </c>
    </row>
    <row r="26" spans="1:8" ht="14" customHeight="1" thickBot="1" x14ac:dyDescent="0.25">
      <c r="B26" s="136" t="s">
        <v>58</v>
      </c>
      <c r="C26" s="204">
        <f>C3+C7+C10+C20</f>
        <v>31200</v>
      </c>
      <c r="D26" s="204">
        <f>D3+D7+D10+D20</f>
        <v>53650</v>
      </c>
      <c r="E26" s="204">
        <f>E3+E7+E10+E20</f>
        <v>34400</v>
      </c>
      <c r="F26" s="204">
        <f>F3+F7+F10+F20</f>
        <v>13650</v>
      </c>
      <c r="G26" s="239">
        <f>SUM(G3:G20)</f>
        <v>132900</v>
      </c>
      <c r="H26" s="249">
        <f>H3+H7+H10+H20</f>
        <v>122700</v>
      </c>
    </row>
    <row r="27" spans="1:8" ht="9" customHeight="1" thickBot="1" x14ac:dyDescent="0.25">
      <c r="A27" s="4"/>
      <c r="B27" s="5"/>
      <c r="C27" s="3"/>
      <c r="D27" s="3"/>
      <c r="E27" s="3"/>
      <c r="F27" s="3"/>
      <c r="G27" s="10"/>
      <c r="H27" s="141"/>
    </row>
    <row r="28" spans="1:8" ht="26" customHeight="1" thickBot="1" x14ac:dyDescent="0.25">
      <c r="A28" s="4"/>
      <c r="B28" s="1" t="s">
        <v>13</v>
      </c>
      <c r="C28" s="6" t="s">
        <v>7</v>
      </c>
      <c r="D28" s="2" t="s">
        <v>2</v>
      </c>
      <c r="E28" s="2" t="s">
        <v>4</v>
      </c>
      <c r="F28" s="2" t="s">
        <v>85</v>
      </c>
      <c r="G28" s="138" t="s">
        <v>27</v>
      </c>
      <c r="H28" s="242" t="s">
        <v>60</v>
      </c>
    </row>
    <row r="29" spans="1:8" ht="13" customHeight="1" x14ac:dyDescent="0.2">
      <c r="B29" s="14" t="s">
        <v>5</v>
      </c>
      <c r="C29" s="197">
        <f>SUM(C30:C32)</f>
        <v>24283</v>
      </c>
      <c r="D29" s="197">
        <f>SUM(D30:D32)</f>
        <v>34387</v>
      </c>
      <c r="E29" s="197">
        <f t="shared" ref="E29:F29" si="0">SUM(E30:E32)</f>
        <v>26121</v>
      </c>
      <c r="F29" s="197">
        <f t="shared" si="0"/>
        <v>13052</v>
      </c>
      <c r="G29" s="232">
        <f>SUM(C29:F29)</f>
        <v>97843</v>
      </c>
      <c r="H29" s="249">
        <v>90000</v>
      </c>
    </row>
    <row r="30" spans="1:8" ht="13" customHeight="1" x14ac:dyDescent="0.2">
      <c r="B30" s="16" t="s">
        <v>29</v>
      </c>
      <c r="C30" s="195">
        <f>20802+388-157</f>
        <v>21033</v>
      </c>
      <c r="D30" s="195">
        <v>20802</v>
      </c>
      <c r="E30" s="195">
        <f>7802-231</f>
        <v>7571</v>
      </c>
      <c r="F30" s="195">
        <v>9802</v>
      </c>
      <c r="G30" s="113"/>
      <c r="H30" s="141"/>
    </row>
    <row r="31" spans="1:8" ht="13" customHeight="1" x14ac:dyDescent="0.2">
      <c r="B31" s="243" t="s">
        <v>31</v>
      </c>
      <c r="C31" s="195"/>
      <c r="D31" s="195">
        <f>735+(20*40)*12</f>
        <v>10335</v>
      </c>
      <c r="E31" s="198">
        <f>1700*9</f>
        <v>15300</v>
      </c>
      <c r="F31" s="196"/>
      <c r="G31" s="113"/>
      <c r="H31" s="141"/>
    </row>
    <row r="32" spans="1:8" ht="13" customHeight="1" x14ac:dyDescent="0.2">
      <c r="B32" s="13" t="s">
        <v>89</v>
      </c>
      <c r="C32" s="39">
        <v>3250</v>
      </c>
      <c r="D32" s="39">
        <v>3250</v>
      </c>
      <c r="E32" s="39">
        <v>3250</v>
      </c>
      <c r="F32" s="39">
        <v>3250</v>
      </c>
      <c r="G32" s="114"/>
      <c r="H32" s="142"/>
    </row>
    <row r="33" spans="2:8" ht="13" customHeight="1" x14ac:dyDescent="0.2">
      <c r="B33" s="207" t="s">
        <v>18</v>
      </c>
      <c r="C33" s="214">
        <f>100*12</f>
        <v>1200</v>
      </c>
      <c r="D33" s="214">
        <f>700*12</f>
        <v>8400</v>
      </c>
      <c r="E33" s="206">
        <v>1200</v>
      </c>
      <c r="F33" s="214">
        <f>100*12</f>
        <v>1200</v>
      </c>
      <c r="G33" s="211">
        <f t="shared" ref="G33:G49" si="1">SUM(C33:F33)</f>
        <v>12000</v>
      </c>
      <c r="H33" s="143">
        <f>800*12</f>
        <v>9600</v>
      </c>
    </row>
    <row r="34" spans="2:8" ht="13" customHeight="1" x14ac:dyDescent="0.2">
      <c r="B34" s="209" t="s">
        <v>8</v>
      </c>
      <c r="C34" s="37">
        <v>450</v>
      </c>
      <c r="D34" s="37"/>
      <c r="E34" s="36">
        <v>2900</v>
      </c>
      <c r="F34" s="36"/>
      <c r="G34" s="211">
        <f t="shared" si="1"/>
        <v>3350</v>
      </c>
      <c r="H34" s="143">
        <v>500</v>
      </c>
    </row>
    <row r="35" spans="2:8" ht="13" customHeight="1" x14ac:dyDescent="0.2">
      <c r="B35" s="210" t="s">
        <v>19</v>
      </c>
      <c r="C35" s="72">
        <v>225</v>
      </c>
      <c r="D35" s="72">
        <v>175</v>
      </c>
      <c r="E35" s="72">
        <v>175</v>
      </c>
      <c r="F35" s="72">
        <v>175</v>
      </c>
      <c r="G35" s="213">
        <f t="shared" si="1"/>
        <v>750</v>
      </c>
      <c r="H35" s="241">
        <v>850</v>
      </c>
    </row>
    <row r="36" spans="2:8" ht="13" customHeight="1" x14ac:dyDescent="0.2">
      <c r="B36" s="208" t="s">
        <v>0</v>
      </c>
      <c r="C36" s="34">
        <v>50</v>
      </c>
      <c r="D36" s="34">
        <v>100</v>
      </c>
      <c r="E36" s="34">
        <v>100</v>
      </c>
      <c r="F36" s="34">
        <v>50</v>
      </c>
      <c r="G36" s="211">
        <f t="shared" si="1"/>
        <v>300</v>
      </c>
      <c r="H36" s="143">
        <v>350</v>
      </c>
    </row>
    <row r="37" spans="2:8" ht="13" customHeight="1" x14ac:dyDescent="0.2">
      <c r="B37" s="208" t="s">
        <v>86</v>
      </c>
      <c r="C37" s="34">
        <v>500</v>
      </c>
      <c r="D37" s="33">
        <v>100</v>
      </c>
      <c r="E37" s="33">
        <v>100</v>
      </c>
      <c r="F37" s="34">
        <v>100</v>
      </c>
      <c r="G37" s="211">
        <f t="shared" si="1"/>
        <v>800</v>
      </c>
      <c r="H37" s="143">
        <v>1500</v>
      </c>
    </row>
    <row r="38" spans="2:8" ht="13" customHeight="1" x14ac:dyDescent="0.2">
      <c r="B38" s="208" t="s">
        <v>21</v>
      </c>
      <c r="C38" s="34">
        <v>1000</v>
      </c>
      <c r="D38" s="35"/>
      <c r="E38" s="35"/>
      <c r="F38" s="35"/>
      <c r="G38" s="211">
        <f t="shared" si="1"/>
        <v>1000</v>
      </c>
      <c r="H38" s="143">
        <v>450</v>
      </c>
    </row>
    <row r="39" spans="2:8" ht="13" customHeight="1" x14ac:dyDescent="0.2">
      <c r="B39" s="210" t="s">
        <v>87</v>
      </c>
      <c r="C39" s="72">
        <v>525</v>
      </c>
      <c r="D39" s="72">
        <v>525</v>
      </c>
      <c r="E39" s="72">
        <v>525</v>
      </c>
      <c r="F39" s="72">
        <v>525</v>
      </c>
      <c r="G39" s="213">
        <f t="shared" si="1"/>
        <v>2100</v>
      </c>
      <c r="H39" s="241">
        <v>2100</v>
      </c>
    </row>
    <row r="40" spans="2:8" ht="13" customHeight="1" x14ac:dyDescent="0.2">
      <c r="B40" s="208" t="s">
        <v>20</v>
      </c>
      <c r="C40" s="33">
        <v>250</v>
      </c>
      <c r="D40" s="33">
        <v>1000</v>
      </c>
      <c r="E40" s="34">
        <v>562</v>
      </c>
      <c r="F40" s="34">
        <v>0</v>
      </c>
      <c r="G40" s="211">
        <f t="shared" si="1"/>
        <v>1812</v>
      </c>
      <c r="H40" s="143">
        <v>2000</v>
      </c>
    </row>
    <row r="41" spans="2:8" ht="13" customHeight="1" x14ac:dyDescent="0.2">
      <c r="B41" s="208" t="s">
        <v>14</v>
      </c>
      <c r="C41" s="33"/>
      <c r="D41" s="33"/>
      <c r="E41" s="34">
        <v>200</v>
      </c>
      <c r="F41" s="34"/>
      <c r="G41" s="211">
        <f t="shared" si="1"/>
        <v>200</v>
      </c>
      <c r="H41" s="143">
        <v>350</v>
      </c>
    </row>
    <row r="42" spans="2:8" ht="13" customHeight="1" x14ac:dyDescent="0.2">
      <c r="B42" s="209" t="s">
        <v>9</v>
      </c>
      <c r="C42" s="36"/>
      <c r="D42" s="36"/>
      <c r="E42" s="36">
        <v>400</v>
      </c>
      <c r="F42" s="36"/>
      <c r="G42" s="211">
        <f t="shared" si="1"/>
        <v>400</v>
      </c>
      <c r="H42" s="143">
        <v>1000</v>
      </c>
    </row>
    <row r="43" spans="2:8" ht="13" customHeight="1" x14ac:dyDescent="0.2">
      <c r="B43" s="81" t="s">
        <v>15</v>
      </c>
      <c r="C43" s="37">
        <v>400</v>
      </c>
      <c r="D43" s="128"/>
      <c r="E43" s="119"/>
      <c r="F43" s="36"/>
      <c r="G43" s="213">
        <f t="shared" si="1"/>
        <v>400</v>
      </c>
      <c r="H43" s="241">
        <v>750</v>
      </c>
    </row>
    <row r="44" spans="2:8" ht="13" customHeight="1" x14ac:dyDescent="0.2">
      <c r="B44" s="208" t="s">
        <v>1</v>
      </c>
      <c r="C44" s="34">
        <v>300</v>
      </c>
      <c r="D44" s="34">
        <v>1300</v>
      </c>
      <c r="E44" s="118">
        <v>800</v>
      </c>
      <c r="F44" s="34">
        <v>100</v>
      </c>
      <c r="G44" s="211">
        <f t="shared" si="1"/>
        <v>2500</v>
      </c>
      <c r="H44" s="143">
        <v>3000</v>
      </c>
    </row>
    <row r="45" spans="2:8" ht="13" customHeight="1" x14ac:dyDescent="0.2">
      <c r="B45" s="14" t="s">
        <v>97</v>
      </c>
      <c r="C45" s="34"/>
      <c r="D45" s="116">
        <v>9000</v>
      </c>
      <c r="E45" s="34"/>
      <c r="F45" s="34"/>
      <c r="G45" s="211">
        <f t="shared" si="1"/>
        <v>9000</v>
      </c>
      <c r="H45" s="143">
        <v>9000</v>
      </c>
    </row>
    <row r="46" spans="2:8" ht="13" customHeight="1" x14ac:dyDescent="0.2">
      <c r="B46" s="208" t="s">
        <v>63</v>
      </c>
      <c r="C46" s="34">
        <v>200</v>
      </c>
      <c r="D46" s="116">
        <v>200</v>
      </c>
      <c r="E46" s="34">
        <v>200</v>
      </c>
      <c r="F46" s="34">
        <v>100</v>
      </c>
      <c r="G46" s="211">
        <f t="shared" si="1"/>
        <v>700</v>
      </c>
      <c r="H46" s="143">
        <v>500</v>
      </c>
    </row>
    <row r="47" spans="2:8" ht="13" customHeight="1" x14ac:dyDescent="0.2">
      <c r="B47" s="210" t="s">
        <v>17</v>
      </c>
      <c r="C47" s="72">
        <v>100</v>
      </c>
      <c r="D47" s="123">
        <v>0</v>
      </c>
      <c r="E47" s="73"/>
      <c r="F47" s="72">
        <v>50</v>
      </c>
      <c r="G47" s="213">
        <f t="shared" si="1"/>
        <v>150</v>
      </c>
      <c r="H47" s="241">
        <v>300</v>
      </c>
    </row>
    <row r="48" spans="2:8" ht="13" customHeight="1" x14ac:dyDescent="0.2">
      <c r="B48" s="207" t="s">
        <v>88</v>
      </c>
      <c r="C48" s="78">
        <v>50</v>
      </c>
      <c r="D48" s="124">
        <v>100</v>
      </c>
      <c r="E48" s="76">
        <v>100</v>
      </c>
      <c r="F48" s="78"/>
      <c r="G48" s="211">
        <f t="shared" si="1"/>
        <v>250</v>
      </c>
      <c r="H48" s="143">
        <v>150</v>
      </c>
    </row>
    <row r="49" spans="1:8" ht="13" customHeight="1" x14ac:dyDescent="0.2">
      <c r="B49" s="209" t="s">
        <v>6</v>
      </c>
      <c r="C49" s="36">
        <v>250</v>
      </c>
      <c r="D49" s="119">
        <v>75</v>
      </c>
      <c r="E49" s="37">
        <v>17</v>
      </c>
      <c r="F49" s="36">
        <v>3</v>
      </c>
      <c r="G49" s="227">
        <f t="shared" si="1"/>
        <v>345</v>
      </c>
      <c r="H49" s="145">
        <v>300</v>
      </c>
    </row>
    <row r="50" spans="1:8" ht="14" customHeight="1" thickBot="1" x14ac:dyDescent="0.25">
      <c r="B50" s="217" t="s">
        <v>37</v>
      </c>
      <c r="C50" s="218">
        <f>SUM(C33:C49)+C29</f>
        <v>29783</v>
      </c>
      <c r="D50" s="218">
        <f>SUM(D33:D49)+D29</f>
        <v>55362</v>
      </c>
      <c r="E50" s="218">
        <f>SUM(E33:E49)+E29</f>
        <v>33400</v>
      </c>
      <c r="F50" s="218">
        <f>SUM(F33:F49)+F29</f>
        <v>15355</v>
      </c>
      <c r="G50" s="244">
        <f>SUM(G29:G49)</f>
        <v>133900</v>
      </c>
      <c r="H50" s="240">
        <f>SUM(H29:H49)</f>
        <v>122700</v>
      </c>
    </row>
    <row r="51" spans="1:8" ht="14" customHeight="1" x14ac:dyDescent="0.2">
      <c r="B51" s="245" t="s">
        <v>103</v>
      </c>
      <c r="C51" s="246">
        <v>15302</v>
      </c>
      <c r="D51" s="247"/>
      <c r="E51" s="247"/>
      <c r="F51" s="247"/>
      <c r="G51" s="248"/>
      <c r="H51" s="219"/>
    </row>
    <row r="52" spans="1:8" ht="14" customHeight="1" x14ac:dyDescent="0.2">
      <c r="B52" s="220" t="s">
        <v>98</v>
      </c>
      <c r="C52" s="221"/>
      <c r="D52" s="221"/>
      <c r="E52" s="222"/>
      <c r="F52" s="221"/>
      <c r="G52" s="223"/>
      <c r="H52" s="205"/>
    </row>
    <row r="53" spans="1:8" x14ac:dyDescent="0.2">
      <c r="B53" s="216" t="s">
        <v>100</v>
      </c>
      <c r="C53" s="215">
        <v>36181</v>
      </c>
      <c r="D53" s="4"/>
      <c r="E53" s="4"/>
      <c r="F53" s="4"/>
      <c r="G53" s="4"/>
      <c r="H53" s="205"/>
    </row>
    <row r="54" spans="1:8" ht="13" customHeight="1" x14ac:dyDescent="0.2">
      <c r="A54" s="4"/>
      <c r="B54" s="216" t="s">
        <v>99</v>
      </c>
      <c r="C54" s="215">
        <v>12551.91</v>
      </c>
      <c r="D54" s="224"/>
      <c r="E54" s="224"/>
      <c r="F54" s="224"/>
      <c r="G54" s="225"/>
      <c r="H54" s="205"/>
    </row>
    <row r="55" spans="1:8" ht="13" customHeight="1" x14ac:dyDescent="0.2">
      <c r="B55" s="191"/>
      <c r="C55" s="199"/>
      <c r="D55" s="200"/>
      <c r="E55" s="200"/>
      <c r="F55" s="200" t="s">
        <v>77</v>
      </c>
      <c r="G55" s="201"/>
      <c r="H55" s="205"/>
    </row>
    <row r="56" spans="1:8" x14ac:dyDescent="0.2">
      <c r="B56" s="226"/>
      <c r="C56" s="205"/>
      <c r="D56" s="4"/>
      <c r="E56" s="4"/>
      <c r="F56" s="4"/>
      <c r="G56" s="4"/>
      <c r="H56" s="205"/>
    </row>
    <row r="58" spans="1:8" x14ac:dyDescent="0.2">
      <c r="E58" s="134"/>
    </row>
  </sheetData>
  <phoneticPr fontId="9" type="noConversion"/>
  <pageMargins left="0.25" right="0.25" top="0.5" bottom="0.5" header="0.3" footer="0.3"/>
  <pageSetup scale="85" orientation="portrait" horizontalDpi="4294967292" verticalDpi="4294967292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28"/>
  <sheetViews>
    <sheetView topLeftCell="A4" workbookViewId="0">
      <selection activeCell="G15" sqref="G15"/>
    </sheetView>
  </sheetViews>
  <sheetFormatPr baseColWidth="10" defaultRowHeight="15" x14ac:dyDescent="0.2"/>
  <cols>
    <col min="1" max="1" width="3.5" customWidth="1"/>
  </cols>
  <sheetData>
    <row r="1" spans="2:12" ht="16" thickBot="1" x14ac:dyDescent="0.25">
      <c r="B1" s="45" t="s">
        <v>52</v>
      </c>
      <c r="C1" s="46"/>
      <c r="D1" s="46"/>
      <c r="E1" s="46"/>
      <c r="F1" s="46"/>
      <c r="G1" s="52"/>
      <c r="H1" s="52"/>
      <c r="I1" s="46"/>
      <c r="J1" s="130"/>
      <c r="K1" s="19"/>
      <c r="L1" s="19"/>
    </row>
    <row r="2" spans="2:12" ht="44" thickBot="1" x14ac:dyDescent="0.25">
      <c r="B2" s="1" t="s">
        <v>35</v>
      </c>
      <c r="C2" s="6" t="s">
        <v>7</v>
      </c>
      <c r="D2" s="2" t="s">
        <v>2</v>
      </c>
      <c r="E2" s="2" t="s">
        <v>4</v>
      </c>
      <c r="F2" s="2" t="s">
        <v>64</v>
      </c>
      <c r="G2" s="53" t="s">
        <v>65</v>
      </c>
      <c r="H2" s="133" t="s">
        <v>49</v>
      </c>
      <c r="I2" s="7" t="s">
        <v>27</v>
      </c>
      <c r="J2" s="131" t="s">
        <v>53</v>
      </c>
    </row>
    <row r="3" spans="2:12" x14ac:dyDescent="0.2">
      <c r="B3" s="59" t="s">
        <v>10</v>
      </c>
      <c r="C3" s="60">
        <v>1800</v>
      </c>
      <c r="D3" s="60">
        <v>13200</v>
      </c>
      <c r="E3" s="60">
        <v>7500</v>
      </c>
      <c r="F3" s="60">
        <v>7500</v>
      </c>
      <c r="G3" s="61"/>
      <c r="H3" s="147"/>
      <c r="I3" s="62">
        <f>SUM(C3:G3)</f>
        <v>30000</v>
      </c>
      <c r="J3" s="168">
        <v>38000</v>
      </c>
    </row>
    <row r="4" spans="2:12" x14ac:dyDescent="0.2">
      <c r="B4" s="8" t="s">
        <v>33</v>
      </c>
      <c r="C4" s="11">
        <f>1002+120</f>
        <v>1122</v>
      </c>
      <c r="D4" s="11">
        <f>4198+2565</f>
        <v>6763</v>
      </c>
      <c r="E4" s="11">
        <f>4198+2565</f>
        <v>6763</v>
      </c>
      <c r="F4" s="11">
        <f>4198+2565</f>
        <v>6763</v>
      </c>
      <c r="G4" s="54">
        <f>SUM(C4:F4)</f>
        <v>21411</v>
      </c>
      <c r="H4" s="148"/>
      <c r="I4" s="24"/>
      <c r="J4" s="141"/>
      <c r="K4" s="9">
        <v>25000</v>
      </c>
      <c r="L4" s="9"/>
    </row>
    <row r="5" spans="2:12" x14ac:dyDescent="0.2">
      <c r="B5" s="8" t="s">
        <v>25</v>
      </c>
      <c r="C5" s="20">
        <v>125</v>
      </c>
      <c r="D5" s="20">
        <v>125</v>
      </c>
      <c r="E5" s="20">
        <v>125</v>
      </c>
      <c r="F5" s="20">
        <v>125</v>
      </c>
      <c r="G5" s="54">
        <f t="shared" ref="G5:G6" si="0">SUM(C5:F5)</f>
        <v>500</v>
      </c>
      <c r="H5" s="149">
        <v>3000</v>
      </c>
      <c r="I5" s="24"/>
      <c r="J5" s="141"/>
      <c r="K5">
        <v>3000</v>
      </c>
    </row>
    <row r="6" spans="2:12" x14ac:dyDescent="0.2">
      <c r="B6" s="12" t="s">
        <v>24</v>
      </c>
      <c r="C6" s="21">
        <v>4606</v>
      </c>
      <c r="D6" s="21">
        <v>2505</v>
      </c>
      <c r="E6" s="21">
        <v>645</v>
      </c>
      <c r="F6" s="21">
        <f>510+130</f>
        <v>640</v>
      </c>
      <c r="G6" s="55">
        <f t="shared" si="0"/>
        <v>8396</v>
      </c>
      <c r="H6" s="150"/>
      <c r="I6" s="26"/>
      <c r="J6" s="142"/>
      <c r="K6">
        <v>10000</v>
      </c>
    </row>
    <row r="7" spans="2:12" x14ac:dyDescent="0.2">
      <c r="B7" s="88" t="s">
        <v>44</v>
      </c>
      <c r="C7" s="86"/>
      <c r="D7" s="86"/>
      <c r="E7" s="86"/>
      <c r="F7" s="86"/>
      <c r="G7" s="89">
        <f>SUM(G4:G6)</f>
        <v>30307</v>
      </c>
      <c r="H7" s="151">
        <f>G7+H5</f>
        <v>33307</v>
      </c>
      <c r="I7" s="132"/>
      <c r="J7" s="142"/>
    </row>
    <row r="8" spans="2:12" x14ac:dyDescent="0.2">
      <c r="B8" s="14" t="s">
        <v>23</v>
      </c>
      <c r="C8" s="28">
        <v>1355</v>
      </c>
      <c r="D8" s="28">
        <v>2000</v>
      </c>
      <c r="E8" s="28">
        <v>1645</v>
      </c>
      <c r="F8" s="28">
        <v>6000</v>
      </c>
      <c r="G8" s="11"/>
      <c r="H8" s="152">
        <v>500</v>
      </c>
      <c r="I8" s="24">
        <f>SUM(C8:F8)</f>
        <v>11000</v>
      </c>
      <c r="J8" s="143">
        <v>9700</v>
      </c>
      <c r="K8" t="s">
        <v>57</v>
      </c>
    </row>
    <row r="9" spans="2:12" x14ac:dyDescent="0.2">
      <c r="B9" s="8" t="s">
        <v>34</v>
      </c>
      <c r="C9" s="11">
        <v>925</v>
      </c>
      <c r="D9" s="11">
        <v>925</v>
      </c>
      <c r="E9" s="11">
        <v>925</v>
      </c>
      <c r="F9" s="11">
        <v>925</v>
      </c>
      <c r="G9" s="54">
        <f t="shared" ref="G9:G10" si="1">SUM(C9:F9)</f>
        <v>3700</v>
      </c>
      <c r="H9" s="148"/>
      <c r="I9" s="24"/>
      <c r="J9" s="141"/>
      <c r="K9">
        <v>3500</v>
      </c>
    </row>
    <row r="10" spans="2:12" x14ac:dyDescent="0.2">
      <c r="B10" s="13" t="s">
        <v>26</v>
      </c>
      <c r="C10" s="22"/>
      <c r="D10" s="22"/>
      <c r="E10" s="22"/>
      <c r="F10" s="22">
        <v>4000</v>
      </c>
      <c r="G10" s="55">
        <f t="shared" si="1"/>
        <v>4000</v>
      </c>
      <c r="H10" s="150"/>
      <c r="I10" s="26"/>
      <c r="J10" s="141"/>
      <c r="K10">
        <v>3500</v>
      </c>
    </row>
    <row r="11" spans="2:12" x14ac:dyDescent="0.2">
      <c r="B11" s="88" t="s">
        <v>45</v>
      </c>
      <c r="C11" s="90"/>
      <c r="D11" s="90"/>
      <c r="E11" s="90"/>
      <c r="F11" s="90"/>
      <c r="G11" s="91">
        <f>SUM(G9:G10)</f>
        <v>7700</v>
      </c>
      <c r="H11" s="153">
        <f>G11+H8</f>
        <v>8200</v>
      </c>
      <c r="I11" s="87"/>
      <c r="J11" s="142"/>
    </row>
    <row r="12" spans="2:12" x14ac:dyDescent="0.2">
      <c r="B12" s="14" t="s">
        <v>11</v>
      </c>
      <c r="C12" s="28">
        <v>4000</v>
      </c>
      <c r="D12" s="28">
        <v>15000</v>
      </c>
      <c r="E12" s="28">
        <v>21000</v>
      </c>
      <c r="F12" s="28">
        <v>13000</v>
      </c>
      <c r="G12" s="11"/>
      <c r="H12" s="152"/>
      <c r="I12" s="24">
        <f t="shared" ref="I12:I28" si="2">SUM(C12:F12)</f>
        <v>53000</v>
      </c>
      <c r="J12" s="143">
        <v>65000</v>
      </c>
    </row>
    <row r="13" spans="2:12" x14ac:dyDescent="0.2">
      <c r="B13" s="8" t="s">
        <v>38</v>
      </c>
      <c r="C13" s="49">
        <v>1000</v>
      </c>
      <c r="D13" s="49">
        <v>1000</v>
      </c>
      <c r="E13" s="49">
        <v>1000</v>
      </c>
      <c r="F13" s="49">
        <v>1000</v>
      </c>
      <c r="G13" s="54">
        <f t="shared" ref="G13:G24" si="3">SUM(C13:F13)</f>
        <v>4000</v>
      </c>
      <c r="H13" s="148"/>
      <c r="I13" s="50"/>
      <c r="J13" s="141"/>
      <c r="K13" t="s">
        <v>75</v>
      </c>
    </row>
    <row r="14" spans="2:12" x14ac:dyDescent="0.2">
      <c r="B14" s="8" t="s">
        <v>54</v>
      </c>
      <c r="C14" s="48">
        <f>1000+3000</f>
        <v>4000</v>
      </c>
      <c r="D14" s="49"/>
      <c r="E14" s="49">
        <v>4000</v>
      </c>
      <c r="F14" s="48"/>
      <c r="G14" s="54">
        <f t="shared" si="3"/>
        <v>8000</v>
      </c>
      <c r="H14" s="148"/>
      <c r="I14" s="50"/>
      <c r="J14" s="141"/>
      <c r="K14" t="s">
        <v>74</v>
      </c>
    </row>
    <row r="15" spans="2:12" x14ac:dyDescent="0.2">
      <c r="B15" s="8" t="s">
        <v>39</v>
      </c>
      <c r="C15" s="49">
        <v>2500</v>
      </c>
      <c r="D15" s="49">
        <v>2500</v>
      </c>
      <c r="E15" s="49">
        <v>2500</v>
      </c>
      <c r="F15" s="49">
        <v>2500</v>
      </c>
      <c r="G15" s="54">
        <f t="shared" si="3"/>
        <v>10000</v>
      </c>
      <c r="H15" s="148"/>
      <c r="I15" s="50"/>
      <c r="J15" s="141"/>
      <c r="K15" t="s">
        <v>73</v>
      </c>
    </row>
    <row r="16" spans="2:12" x14ac:dyDescent="0.2">
      <c r="B16" s="8" t="s">
        <v>41</v>
      </c>
      <c r="C16" s="49"/>
      <c r="D16" s="49"/>
      <c r="E16" s="49">
        <v>12000</v>
      </c>
      <c r="F16" s="48"/>
      <c r="G16" s="54">
        <f t="shared" si="3"/>
        <v>12000</v>
      </c>
      <c r="H16" s="148"/>
      <c r="I16" s="50"/>
      <c r="J16" s="141"/>
      <c r="K16" t="s">
        <v>72</v>
      </c>
    </row>
    <row r="17" spans="2:12" x14ac:dyDescent="0.2">
      <c r="B17" s="8" t="s">
        <v>43</v>
      </c>
      <c r="C17" s="103"/>
      <c r="D17" s="103">
        <v>5000</v>
      </c>
      <c r="E17" s="103"/>
      <c r="F17" s="103"/>
      <c r="G17" s="102">
        <f t="shared" si="3"/>
        <v>5000</v>
      </c>
      <c r="H17" s="171"/>
      <c r="I17" s="50"/>
      <c r="J17" s="141"/>
      <c r="K17" t="s">
        <v>71</v>
      </c>
    </row>
    <row r="18" spans="2:12" x14ac:dyDescent="0.2">
      <c r="B18" s="8" t="s">
        <v>40</v>
      </c>
      <c r="C18" s="103">
        <v>6250</v>
      </c>
      <c r="D18" s="49">
        <v>6250</v>
      </c>
      <c r="E18" s="103">
        <v>6250</v>
      </c>
      <c r="F18" s="49">
        <v>6250</v>
      </c>
      <c r="G18" s="102">
        <f t="shared" si="3"/>
        <v>25000</v>
      </c>
      <c r="H18" s="148"/>
      <c r="I18" s="50"/>
      <c r="J18" s="141"/>
      <c r="K18" t="s">
        <v>70</v>
      </c>
    </row>
    <row r="19" spans="2:12" x14ac:dyDescent="0.2">
      <c r="B19" s="176" t="s">
        <v>56</v>
      </c>
      <c r="C19" s="172"/>
      <c r="D19" s="173"/>
      <c r="E19" s="173"/>
      <c r="F19" s="173"/>
      <c r="G19" s="174"/>
      <c r="H19" s="175">
        <v>12551</v>
      </c>
      <c r="I19" s="50"/>
      <c r="J19" s="141"/>
      <c r="K19" t="s">
        <v>69</v>
      </c>
    </row>
    <row r="20" spans="2:12" x14ac:dyDescent="0.2">
      <c r="B20" s="13" t="s">
        <v>50</v>
      </c>
      <c r="C20" s="104"/>
      <c r="D20" s="38"/>
      <c r="E20" s="104"/>
      <c r="F20" s="38"/>
      <c r="G20" s="109"/>
      <c r="H20" s="154">
        <v>5000</v>
      </c>
      <c r="I20" s="27"/>
      <c r="J20" s="141"/>
      <c r="K20" t="s">
        <v>68</v>
      </c>
    </row>
    <row r="21" spans="2:12" x14ac:dyDescent="0.2">
      <c r="B21" s="88" t="s">
        <v>46</v>
      </c>
      <c r="C21" s="105"/>
      <c r="D21" s="92"/>
      <c r="E21" s="105"/>
      <c r="F21" s="92"/>
      <c r="G21" s="110">
        <f>SUM(G13:G18)</f>
        <v>64000</v>
      </c>
      <c r="H21" s="153">
        <f>G21+H20+H19</f>
        <v>81551</v>
      </c>
      <c r="I21" s="93"/>
      <c r="J21" s="142"/>
    </row>
    <row r="22" spans="2:12" x14ac:dyDescent="0.2">
      <c r="B22" s="14" t="s">
        <v>12</v>
      </c>
      <c r="C22" s="106">
        <v>4308</v>
      </c>
      <c r="D22" s="51">
        <v>4120</v>
      </c>
      <c r="E22" s="106">
        <v>4668</v>
      </c>
      <c r="F22" s="51">
        <v>6904</v>
      </c>
      <c r="G22" s="111"/>
      <c r="H22" s="155"/>
      <c r="I22" s="24">
        <f t="shared" si="2"/>
        <v>20000</v>
      </c>
      <c r="J22" s="143">
        <v>10000</v>
      </c>
      <c r="K22" t="s">
        <v>66</v>
      </c>
    </row>
    <row r="23" spans="2:12" x14ac:dyDescent="0.2">
      <c r="B23" s="8" t="s">
        <v>28</v>
      </c>
      <c r="C23" s="64">
        <v>640</v>
      </c>
      <c r="D23" s="107">
        <v>639</v>
      </c>
      <c r="E23" s="23">
        <v>639</v>
      </c>
      <c r="F23" s="107">
        <v>639</v>
      </c>
      <c r="G23" s="102">
        <f t="shared" si="3"/>
        <v>2557</v>
      </c>
      <c r="H23" s="148"/>
      <c r="I23" s="24"/>
      <c r="J23" s="141"/>
      <c r="K23" t="s">
        <v>67</v>
      </c>
    </row>
    <row r="24" spans="2:12" x14ac:dyDescent="0.2">
      <c r="B24" s="8" t="s">
        <v>42</v>
      </c>
      <c r="C24" s="64">
        <v>1291</v>
      </c>
      <c r="D24" s="107"/>
      <c r="E24" s="23"/>
      <c r="F24" s="107"/>
      <c r="G24" s="102">
        <f t="shared" si="3"/>
        <v>1291</v>
      </c>
      <c r="H24" s="149">
        <v>500</v>
      </c>
      <c r="I24" s="24"/>
      <c r="J24" s="141"/>
    </row>
    <row r="25" spans="2:12" x14ac:dyDescent="0.2">
      <c r="B25" s="13" t="s">
        <v>51</v>
      </c>
      <c r="C25" s="94"/>
      <c r="D25" s="108"/>
      <c r="E25" s="95"/>
      <c r="F25" s="108"/>
      <c r="G25" s="109"/>
      <c r="H25" s="154">
        <v>500</v>
      </c>
      <c r="I25" s="26"/>
      <c r="J25" s="141"/>
    </row>
    <row r="26" spans="2:12" x14ac:dyDescent="0.2">
      <c r="B26" s="88" t="s">
        <v>47</v>
      </c>
      <c r="C26" s="96"/>
      <c r="D26" s="97"/>
      <c r="E26" s="97"/>
      <c r="F26" s="97"/>
      <c r="G26" s="91">
        <f>SUM(G23:G24)</f>
        <v>3848</v>
      </c>
      <c r="H26" s="153">
        <f>SUM(H24:H25)</f>
        <v>1000</v>
      </c>
      <c r="I26" s="87"/>
      <c r="J26" s="142"/>
    </row>
    <row r="27" spans="2:12" x14ac:dyDescent="0.2">
      <c r="B27" s="135" t="s">
        <v>59</v>
      </c>
      <c r="C27" s="96"/>
      <c r="D27" s="97"/>
      <c r="E27" s="97"/>
      <c r="F27" s="97"/>
      <c r="G27" s="137">
        <f>G7+G11+G21+G26</f>
        <v>105855</v>
      </c>
      <c r="H27" s="151">
        <f>H5+H20+H24+H25</f>
        <v>9000</v>
      </c>
      <c r="I27" s="87"/>
      <c r="J27" s="170"/>
    </row>
    <row r="28" spans="2:12" ht="16" thickBot="1" x14ac:dyDescent="0.25">
      <c r="B28" s="136" t="s">
        <v>58</v>
      </c>
      <c r="C28" s="29">
        <f>C3+C8+C12+C22</f>
        <v>11463</v>
      </c>
      <c r="D28" s="29">
        <f>D3+D8+D12+D22</f>
        <v>34320</v>
      </c>
      <c r="E28" s="29">
        <f>E3+E8+E12+E22</f>
        <v>34813</v>
      </c>
      <c r="F28" s="29">
        <f>F3+F8+F12+F22</f>
        <v>33404</v>
      </c>
      <c r="G28" s="166"/>
      <c r="H28" s="167"/>
      <c r="I28" s="25">
        <f t="shared" si="2"/>
        <v>114000</v>
      </c>
      <c r="J28" s="169">
        <f>J3+J8+J12+J22</f>
        <v>122700</v>
      </c>
      <c r="K28" s="63"/>
      <c r="L28" s="63"/>
    </row>
  </sheetData>
  <pageMargins left="0.5" right="0.5" top="0.5" bottom="0.5" header="0.5" footer="0.5"/>
  <pageSetup scale="73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8"/>
  <sheetViews>
    <sheetView tabSelected="1" workbookViewId="0">
      <selection activeCell="I31" sqref="I31"/>
    </sheetView>
  </sheetViews>
  <sheetFormatPr baseColWidth="10" defaultRowHeight="15" x14ac:dyDescent="0.2"/>
  <cols>
    <col min="1" max="1" width="3.33203125" customWidth="1"/>
    <col min="2" max="2" width="22.33203125" customWidth="1"/>
  </cols>
  <sheetData>
    <row r="1" spans="2:10" ht="43" x14ac:dyDescent="0.2">
      <c r="B1" s="1" t="s">
        <v>13</v>
      </c>
      <c r="C1" s="6" t="s">
        <v>7</v>
      </c>
      <c r="D1" s="2" t="s">
        <v>2</v>
      </c>
      <c r="E1" s="2" t="s">
        <v>4</v>
      </c>
      <c r="F1" s="2" t="s">
        <v>30</v>
      </c>
      <c r="G1" s="53" t="s">
        <v>32</v>
      </c>
      <c r="H1" s="133" t="s">
        <v>61</v>
      </c>
      <c r="I1" s="138" t="s">
        <v>27</v>
      </c>
      <c r="J1" s="146" t="s">
        <v>60</v>
      </c>
    </row>
    <row r="2" spans="2:10" x14ac:dyDescent="0.2">
      <c r="B2" s="14" t="s">
        <v>5</v>
      </c>
      <c r="C2" s="30">
        <f>5868</f>
        <v>5868</v>
      </c>
      <c r="D2" s="115">
        <f>12000+11868</f>
        <v>23868</v>
      </c>
      <c r="E2" s="31">
        <f>17000+10168</f>
        <v>27168</v>
      </c>
      <c r="F2" s="32">
        <v>28604</v>
      </c>
      <c r="G2" s="67"/>
      <c r="H2" s="156"/>
      <c r="I2" s="113">
        <f>SUM(C2:F2)</f>
        <v>85508</v>
      </c>
      <c r="J2" s="143">
        <v>90000</v>
      </c>
    </row>
    <row r="3" spans="2:10" x14ac:dyDescent="0.2">
      <c r="B3" s="16" t="s">
        <v>29</v>
      </c>
      <c r="C3" s="57">
        <f>(169*2)+(85*2)+(85*2)+(85*2)+(85*2)+(112*2)+(112*2)+(224+58)+(169*2)+(169*2)</f>
        <v>2424</v>
      </c>
      <c r="D3" s="120">
        <f>(689*2)+(344*2)+(344*2)+(344*2)+(344*2)+(455*2)+(455*2)+(910+234)+(689*2)+(689*2)</f>
        <v>9850</v>
      </c>
      <c r="E3" s="65">
        <f>(784*2)+(392*2)+(392*2)+(392*2)+(392*2)+(517*2)+(517*2)+(1034+267)+(784*2)+(782*2)</f>
        <v>11205</v>
      </c>
      <c r="F3" s="57">
        <f>(825*2)+(413*2)+(413*2)+(413*2)+(413*2)+(545*2)+(545*2)+(1090+281)+(825*2)+(825*2)</f>
        <v>11805</v>
      </c>
      <c r="G3" s="57">
        <f>SUM(C3:F3)</f>
        <v>35284</v>
      </c>
      <c r="H3" s="157">
        <f>2467*4</f>
        <v>9868</v>
      </c>
      <c r="I3" s="113"/>
      <c r="J3" s="141"/>
    </row>
    <row r="4" spans="2:10" x14ac:dyDescent="0.2">
      <c r="B4" s="15" t="s">
        <v>31</v>
      </c>
      <c r="C4" s="39"/>
      <c r="D4" s="121">
        <f>947+431+431+431+431+431+560+(568+344)+861</f>
        <v>5435</v>
      </c>
      <c r="E4" s="40">
        <f>1700+1700+1700+1500+1500+0+0+0+0+1700+1700</f>
        <v>11500</v>
      </c>
      <c r="F4" s="39"/>
      <c r="G4" s="56">
        <f t="shared" ref="G4" si="0">SUM(C4:F4)</f>
        <v>16935</v>
      </c>
      <c r="H4" s="158">
        <f>861+(1700*2)</f>
        <v>4261</v>
      </c>
      <c r="I4" s="114"/>
      <c r="J4" s="142"/>
    </row>
    <row r="5" spans="2:10" x14ac:dyDescent="0.2">
      <c r="B5" s="100" t="s">
        <v>48</v>
      </c>
      <c r="C5" s="98"/>
      <c r="D5" s="122"/>
      <c r="E5" s="99"/>
      <c r="F5" s="98"/>
      <c r="G5" s="101">
        <f>SUM(G3:G4)</f>
        <v>52219</v>
      </c>
      <c r="H5" s="159">
        <f>SUM(H3:H4)</f>
        <v>14129</v>
      </c>
      <c r="I5" s="139"/>
      <c r="J5" s="141"/>
    </row>
    <row r="6" spans="2:10" x14ac:dyDescent="0.2">
      <c r="B6" s="80" t="s">
        <v>18</v>
      </c>
      <c r="C6" s="30">
        <f>2150-1000</f>
        <v>1150</v>
      </c>
      <c r="D6" s="127">
        <v>4830</v>
      </c>
      <c r="E6" s="126">
        <v>3270</v>
      </c>
      <c r="F6" s="32">
        <f>500+1000</f>
        <v>1500</v>
      </c>
      <c r="G6" s="67"/>
      <c r="H6" s="156"/>
      <c r="I6" s="113">
        <f t="shared" ref="I6:I10" si="1">SUM(C6:F6)</f>
        <v>10750</v>
      </c>
      <c r="J6" s="143">
        <f>800*12</f>
        <v>9600</v>
      </c>
    </row>
    <row r="7" spans="2:10" x14ac:dyDescent="0.2">
      <c r="B7" s="12"/>
      <c r="C7" s="17">
        <f>(157*10)+4</f>
        <v>1574</v>
      </c>
      <c r="D7" s="17">
        <f>371*10</f>
        <v>3710</v>
      </c>
      <c r="E7" s="41">
        <f>273*10</f>
        <v>2730</v>
      </c>
      <c r="F7" s="17">
        <f>94*10</f>
        <v>940</v>
      </c>
      <c r="G7" s="56">
        <f>SUM(C7:F7)</f>
        <v>8954</v>
      </c>
      <c r="H7" s="158">
        <v>1230</v>
      </c>
      <c r="I7" s="112"/>
      <c r="J7" s="142"/>
    </row>
    <row r="8" spans="2:10" x14ac:dyDescent="0.2">
      <c r="B8" s="14" t="s">
        <v>8</v>
      </c>
      <c r="C8" s="33">
        <v>250</v>
      </c>
      <c r="D8" s="33"/>
      <c r="E8" s="34"/>
      <c r="F8" s="34">
        <v>250</v>
      </c>
      <c r="G8" s="67"/>
      <c r="H8" s="156"/>
      <c r="I8" s="113">
        <f t="shared" si="1"/>
        <v>500</v>
      </c>
      <c r="J8" s="143">
        <v>500</v>
      </c>
    </row>
    <row r="9" spans="2:10" x14ac:dyDescent="0.2">
      <c r="B9" s="12"/>
      <c r="C9" s="42"/>
      <c r="D9" s="42"/>
      <c r="E9" s="18"/>
      <c r="F9" s="18"/>
      <c r="G9" s="56">
        <f>SUM(C9:F9)</f>
        <v>0</v>
      </c>
      <c r="H9" s="160"/>
      <c r="I9" s="114"/>
      <c r="J9" s="142"/>
    </row>
    <row r="10" spans="2:10" x14ac:dyDescent="0.2">
      <c r="B10" s="14" t="s">
        <v>19</v>
      </c>
      <c r="C10" s="34">
        <v>650</v>
      </c>
      <c r="D10" s="34"/>
      <c r="E10" s="34"/>
      <c r="F10" s="34"/>
      <c r="G10" s="67"/>
      <c r="H10" s="156"/>
      <c r="I10" s="113">
        <f t="shared" si="1"/>
        <v>650</v>
      </c>
      <c r="J10" s="143">
        <v>850</v>
      </c>
    </row>
    <row r="11" spans="2:10" x14ac:dyDescent="0.2">
      <c r="B11" s="81"/>
      <c r="C11" s="18">
        <f>494+148</f>
        <v>642</v>
      </c>
      <c r="D11" s="18">
        <v>6</v>
      </c>
      <c r="E11" s="18"/>
      <c r="F11" s="18"/>
      <c r="G11" s="56">
        <f>SUM(C11:F11)</f>
        <v>648</v>
      </c>
      <c r="H11" s="158">
        <v>165</v>
      </c>
      <c r="I11" s="114"/>
      <c r="J11" s="142"/>
    </row>
    <row r="12" spans="2:10" x14ac:dyDescent="0.2">
      <c r="B12" s="14" t="s">
        <v>0</v>
      </c>
      <c r="C12" s="34">
        <v>100</v>
      </c>
      <c r="D12" s="34">
        <v>50</v>
      </c>
      <c r="E12" s="34">
        <v>100</v>
      </c>
      <c r="F12" s="34">
        <v>100</v>
      </c>
      <c r="G12" s="67"/>
      <c r="H12" s="156"/>
      <c r="I12" s="113">
        <f>SUM(C12:F12)</f>
        <v>350</v>
      </c>
      <c r="J12" s="143">
        <v>350</v>
      </c>
    </row>
    <row r="13" spans="2:10" x14ac:dyDescent="0.2">
      <c r="B13" s="12"/>
      <c r="C13" s="18">
        <f>87+41</f>
        <v>128</v>
      </c>
      <c r="D13" s="18">
        <f>6+12</f>
        <v>18</v>
      </c>
      <c r="E13" s="18"/>
      <c r="F13" s="18"/>
      <c r="G13" s="56">
        <f>SUM(C13:F13)</f>
        <v>146</v>
      </c>
      <c r="H13" s="160"/>
      <c r="I13" s="114"/>
      <c r="J13" s="142"/>
    </row>
    <row r="14" spans="2:10" x14ac:dyDescent="0.2">
      <c r="B14" s="14" t="s">
        <v>22</v>
      </c>
      <c r="C14" s="34">
        <v>600</v>
      </c>
      <c r="D14" s="33">
        <v>300</v>
      </c>
      <c r="E14" s="33">
        <v>300</v>
      </c>
      <c r="F14" s="34">
        <v>300</v>
      </c>
      <c r="G14" s="67"/>
      <c r="H14" s="156"/>
      <c r="I14" s="113">
        <f>SUM(C14:F14)</f>
        <v>1500</v>
      </c>
      <c r="J14" s="143">
        <v>1500</v>
      </c>
    </row>
    <row r="15" spans="2:10" x14ac:dyDescent="0.2">
      <c r="B15" s="12"/>
      <c r="C15" s="18">
        <f>40+86</f>
        <v>126</v>
      </c>
      <c r="D15" s="42"/>
      <c r="E15" s="42"/>
      <c r="F15" s="18"/>
      <c r="G15" s="56">
        <f>SUM(C15:F15)</f>
        <v>126</v>
      </c>
      <c r="H15" s="160"/>
      <c r="I15" s="114"/>
      <c r="J15" s="142"/>
    </row>
    <row r="16" spans="2:10" x14ac:dyDescent="0.2">
      <c r="B16" s="14" t="s">
        <v>21</v>
      </c>
      <c r="C16" s="34">
        <f>350+95</f>
        <v>445</v>
      </c>
      <c r="D16" s="35"/>
      <c r="E16" s="35"/>
      <c r="F16" s="35"/>
      <c r="G16" s="67"/>
      <c r="H16" s="156"/>
      <c r="I16" s="113">
        <f>SUM(C16:F16)</f>
        <v>445</v>
      </c>
      <c r="J16" s="143">
        <v>450</v>
      </c>
    </row>
    <row r="17" spans="2:10" x14ac:dyDescent="0.2">
      <c r="B17" s="81"/>
      <c r="C17" s="18">
        <v>336</v>
      </c>
      <c r="D17" s="43"/>
      <c r="E17" s="43"/>
      <c r="F17" s="43"/>
      <c r="G17" s="56">
        <f>SUM(C17:F17)</f>
        <v>336</v>
      </c>
      <c r="H17" s="158">
        <v>35</v>
      </c>
      <c r="I17" s="114"/>
      <c r="J17" s="142"/>
    </row>
    <row r="18" spans="2:10" x14ac:dyDescent="0.2">
      <c r="B18" s="14" t="s">
        <v>55</v>
      </c>
      <c r="C18" s="34">
        <v>1200</v>
      </c>
      <c r="D18" s="33">
        <v>1200</v>
      </c>
      <c r="E18" s="33">
        <v>1200</v>
      </c>
      <c r="F18" s="34">
        <v>1200</v>
      </c>
      <c r="G18" s="67"/>
      <c r="H18" s="156"/>
      <c r="I18" s="113">
        <f>SUM(C18:F18)</f>
        <v>4800</v>
      </c>
      <c r="J18" s="143">
        <v>2100</v>
      </c>
    </row>
    <row r="19" spans="2:10" x14ac:dyDescent="0.2">
      <c r="B19" s="12"/>
      <c r="C19" s="18">
        <v>696</v>
      </c>
      <c r="D19" s="42"/>
      <c r="E19" s="42"/>
      <c r="F19" s="18"/>
      <c r="G19" s="56">
        <f>SUM(C19:F19)</f>
        <v>696</v>
      </c>
      <c r="H19" s="158">
        <v>250</v>
      </c>
      <c r="I19" s="114"/>
      <c r="J19" s="142"/>
    </row>
    <row r="20" spans="2:10" x14ac:dyDescent="0.2">
      <c r="B20" s="14" t="s">
        <v>20</v>
      </c>
      <c r="C20" s="33">
        <v>0</v>
      </c>
      <c r="D20" s="33">
        <v>150</v>
      </c>
      <c r="E20" s="34">
        <v>100</v>
      </c>
      <c r="F20" s="34">
        <v>350</v>
      </c>
      <c r="G20" s="67"/>
      <c r="H20" s="156"/>
      <c r="I20" s="113">
        <f>SUM(C20:F20)</f>
        <v>600</v>
      </c>
      <c r="J20" s="143">
        <v>2000</v>
      </c>
    </row>
    <row r="21" spans="2:10" x14ac:dyDescent="0.2">
      <c r="B21" s="12"/>
      <c r="C21" s="42">
        <v>164</v>
      </c>
      <c r="D21" s="42">
        <f>154+13+65+695</f>
        <v>927</v>
      </c>
      <c r="E21" s="18">
        <f>182+544</f>
        <v>726</v>
      </c>
      <c r="F21" s="18"/>
      <c r="G21" s="56">
        <f t="shared" ref="G21" si="2">SUM(C21:F21)</f>
        <v>1817</v>
      </c>
      <c r="H21" s="158">
        <v>12000</v>
      </c>
      <c r="I21" s="114"/>
      <c r="J21" s="142"/>
    </row>
    <row r="22" spans="2:10" x14ac:dyDescent="0.2">
      <c r="B22" s="14" t="s">
        <v>14</v>
      </c>
      <c r="C22" s="33"/>
      <c r="D22" s="33"/>
      <c r="E22" s="34">
        <v>350</v>
      </c>
      <c r="F22" s="34"/>
      <c r="G22" s="69"/>
      <c r="H22" s="156"/>
      <c r="I22" s="113">
        <f t="shared" ref="I22:I34" si="3">SUM(C22:F22)</f>
        <v>350</v>
      </c>
      <c r="J22" s="143">
        <v>350</v>
      </c>
    </row>
    <row r="23" spans="2:10" x14ac:dyDescent="0.2">
      <c r="B23" s="81" t="s">
        <v>9</v>
      </c>
      <c r="C23" s="36"/>
      <c r="D23" s="36"/>
      <c r="E23" s="36">
        <v>1000</v>
      </c>
      <c r="F23" s="36"/>
      <c r="G23" s="129"/>
      <c r="H23" s="161"/>
      <c r="I23" s="114">
        <f t="shared" si="3"/>
        <v>1000</v>
      </c>
      <c r="J23" s="145">
        <v>1000</v>
      </c>
    </row>
    <row r="24" spans="2:10" x14ac:dyDescent="0.2">
      <c r="B24" s="81" t="s">
        <v>15</v>
      </c>
      <c r="C24" s="37">
        <v>400</v>
      </c>
      <c r="D24" s="128">
        <v>200</v>
      </c>
      <c r="E24" s="119"/>
      <c r="F24" s="36">
        <v>150</v>
      </c>
      <c r="G24" s="70"/>
      <c r="H24" s="161"/>
      <c r="I24" s="114">
        <f t="shared" si="3"/>
        <v>750</v>
      </c>
      <c r="J24" s="145">
        <v>750</v>
      </c>
    </row>
    <row r="25" spans="2:10" x14ac:dyDescent="0.2">
      <c r="B25" s="14" t="s">
        <v>1</v>
      </c>
      <c r="C25" s="34">
        <v>450</v>
      </c>
      <c r="D25" s="34">
        <v>800</v>
      </c>
      <c r="E25" s="118">
        <v>1000</v>
      </c>
      <c r="F25" s="34">
        <v>750</v>
      </c>
      <c r="G25" s="71"/>
      <c r="H25" s="156"/>
      <c r="I25" s="113">
        <f t="shared" si="3"/>
        <v>3000</v>
      </c>
      <c r="J25" s="143">
        <v>3000</v>
      </c>
    </row>
    <row r="26" spans="2:10" x14ac:dyDescent="0.2">
      <c r="B26" s="12"/>
      <c r="C26" s="18">
        <v>364</v>
      </c>
      <c r="D26" s="75">
        <v>60</v>
      </c>
      <c r="E26" s="18">
        <v>41</v>
      </c>
      <c r="F26" s="18"/>
      <c r="G26" s="56">
        <f>SUM(C26:F26)</f>
        <v>465</v>
      </c>
      <c r="H26" s="158">
        <v>100</v>
      </c>
      <c r="I26" s="114"/>
      <c r="J26" s="142"/>
    </row>
    <row r="27" spans="2:10" x14ac:dyDescent="0.2">
      <c r="B27" s="14" t="s">
        <v>3</v>
      </c>
      <c r="C27" s="34"/>
      <c r="D27" s="116">
        <v>2800</v>
      </c>
      <c r="E27" s="34"/>
      <c r="F27" s="34"/>
      <c r="G27" s="69"/>
      <c r="H27" s="156"/>
      <c r="I27" s="113">
        <f t="shared" si="3"/>
        <v>2800</v>
      </c>
      <c r="J27" s="143">
        <v>9000</v>
      </c>
    </row>
    <row r="28" spans="2:10" x14ac:dyDescent="0.2">
      <c r="B28" s="12"/>
      <c r="C28" s="18"/>
      <c r="D28" s="117">
        <f>3991+761</f>
        <v>4752</v>
      </c>
      <c r="E28" s="18"/>
      <c r="F28" s="18"/>
      <c r="G28" s="68">
        <f>SUM(C28:F28)</f>
        <v>4752</v>
      </c>
      <c r="H28" s="158">
        <v>3840</v>
      </c>
      <c r="I28" s="114"/>
      <c r="J28" s="142"/>
    </row>
    <row r="29" spans="2:10" x14ac:dyDescent="0.2">
      <c r="B29" s="14" t="s">
        <v>63</v>
      </c>
      <c r="C29" s="34">
        <v>200</v>
      </c>
      <c r="D29" s="116">
        <v>100</v>
      </c>
      <c r="E29" s="34">
        <v>200</v>
      </c>
      <c r="F29" s="34"/>
      <c r="G29" s="67"/>
      <c r="H29" s="156"/>
      <c r="I29" s="113">
        <f t="shared" si="3"/>
        <v>500</v>
      </c>
      <c r="J29" s="143">
        <v>500</v>
      </c>
    </row>
    <row r="30" spans="2:10" x14ac:dyDescent="0.2">
      <c r="B30" s="81"/>
      <c r="C30" s="66"/>
      <c r="D30" s="117">
        <v>53</v>
      </c>
      <c r="E30" s="66"/>
      <c r="F30" s="66"/>
      <c r="G30" s="56">
        <f>D30</f>
        <v>53</v>
      </c>
      <c r="H30" s="158">
        <v>100</v>
      </c>
      <c r="I30" s="114"/>
      <c r="J30" s="142"/>
    </row>
    <row r="31" spans="2:10" x14ac:dyDescent="0.2">
      <c r="B31" s="74" t="s">
        <v>17</v>
      </c>
      <c r="C31" s="72">
        <v>100</v>
      </c>
      <c r="D31" s="123">
        <v>0</v>
      </c>
      <c r="E31" s="73"/>
      <c r="F31" s="72">
        <v>200</v>
      </c>
      <c r="G31" s="70"/>
      <c r="H31" s="162"/>
      <c r="I31" s="139">
        <f t="shared" si="3"/>
        <v>300</v>
      </c>
      <c r="J31" s="145">
        <v>300</v>
      </c>
    </row>
    <row r="32" spans="2:10" x14ac:dyDescent="0.2">
      <c r="B32" s="80" t="s">
        <v>16</v>
      </c>
      <c r="C32" s="78">
        <v>50</v>
      </c>
      <c r="D32" s="124">
        <v>0</v>
      </c>
      <c r="E32" s="76">
        <v>100</v>
      </c>
      <c r="F32" s="78"/>
      <c r="G32" s="79"/>
      <c r="H32" s="163"/>
      <c r="I32" s="113">
        <f t="shared" si="3"/>
        <v>150</v>
      </c>
      <c r="J32" s="143">
        <v>150</v>
      </c>
    </row>
    <row r="33" spans="2:10" x14ac:dyDescent="0.2">
      <c r="B33" s="81"/>
      <c r="C33" s="18">
        <v>11</v>
      </c>
      <c r="D33" s="125"/>
      <c r="E33" s="77"/>
      <c r="F33" s="66"/>
      <c r="G33" s="56">
        <f>SUM(C33:F33)</f>
        <v>11</v>
      </c>
      <c r="H33" s="160"/>
      <c r="I33" s="114"/>
      <c r="J33" s="142"/>
    </row>
    <row r="34" spans="2:10" x14ac:dyDescent="0.2">
      <c r="B34" s="14" t="s">
        <v>6</v>
      </c>
      <c r="C34" s="34"/>
      <c r="D34" s="116">
        <v>22</v>
      </c>
      <c r="E34" s="33">
        <v>25</v>
      </c>
      <c r="F34" s="34"/>
      <c r="G34" s="67">
        <v>0</v>
      </c>
      <c r="H34" s="156"/>
      <c r="I34" s="113">
        <f t="shared" si="3"/>
        <v>47</v>
      </c>
      <c r="J34" s="143">
        <v>300</v>
      </c>
    </row>
    <row r="35" spans="2:10" ht="16" thickBot="1" x14ac:dyDescent="0.25">
      <c r="B35" s="14"/>
      <c r="C35" s="85">
        <v>46</v>
      </c>
      <c r="D35" s="182"/>
      <c r="E35" s="84"/>
      <c r="F35" s="83"/>
      <c r="G35" s="57">
        <f>SUM(C35:F35)</f>
        <v>46</v>
      </c>
      <c r="H35" s="163"/>
      <c r="I35" s="113"/>
      <c r="J35" s="141"/>
    </row>
    <row r="36" spans="2:10" x14ac:dyDescent="0.2">
      <c r="B36" s="183" t="s">
        <v>36</v>
      </c>
      <c r="C36" s="184">
        <f>C3+C7+C11+C13+C15+C17+C19+C21+C26+C33+C35</f>
        <v>6511</v>
      </c>
      <c r="D36" s="184">
        <f>D3+D4+D7+D11+D13+D15+D17+D19+D21+D26+D28+D30</f>
        <v>24811</v>
      </c>
      <c r="E36" s="185">
        <f>E3+E4+E7+E21+E26</f>
        <v>26202</v>
      </c>
      <c r="F36" s="184">
        <f>F3+F7</f>
        <v>12745</v>
      </c>
      <c r="G36" s="186">
        <f>SUM(G5:G35)</f>
        <v>70269</v>
      </c>
      <c r="H36" s="187"/>
      <c r="I36" s="188"/>
      <c r="J36" s="189"/>
    </row>
    <row r="37" spans="2:10" ht="16" thickBot="1" x14ac:dyDescent="0.25">
      <c r="B37" s="181" t="s">
        <v>62</v>
      </c>
      <c r="C37" s="177"/>
      <c r="D37" s="177"/>
      <c r="E37" s="178"/>
      <c r="F37" s="177"/>
      <c r="G37" s="179"/>
      <c r="H37" s="164">
        <f>G36+H5+H7+H11+H17+H19+H21+H26+H28+H30</f>
        <v>102118</v>
      </c>
      <c r="I37" s="180"/>
      <c r="J37" s="190"/>
    </row>
    <row r="38" spans="2:10" ht="16" thickBot="1" x14ac:dyDescent="0.25">
      <c r="B38" s="58" t="s">
        <v>37</v>
      </c>
      <c r="C38" s="47">
        <f>C2+C6+C8+C10+C12+C14+C16+C18+C20+C22+C23+C24+C25+C27+C29+C31+C32+C34</f>
        <v>11463</v>
      </c>
      <c r="D38" s="47">
        <f>D2+D6+D8+D10+D12+D14+D16+D18+D20+D22+D23+D24+D25+D27+D29+D31+D32+D34</f>
        <v>34320</v>
      </c>
      <c r="E38" s="47">
        <f>E2+E6+E8+E10+E12+E14+E16+E18+E20+E22+E23+E24+E25+E27+E29+E31+E32+E34</f>
        <v>34813</v>
      </c>
      <c r="F38" s="47">
        <f>F2+F6+F8+F10+F12+F14+F16+F18+F20+F22+F23+F24+F25+F27+F29+F31+F32+F34</f>
        <v>33404</v>
      </c>
      <c r="G38" s="82"/>
      <c r="H38" s="165"/>
      <c r="I38" s="140">
        <f>SUM(I2:I34)</f>
        <v>114000</v>
      </c>
      <c r="J38" s="144">
        <f>SUM(J2:J34)</f>
        <v>122700</v>
      </c>
    </row>
  </sheetData>
  <phoneticPr fontId="9" type="noConversion"/>
  <pageMargins left="0.75" right="0.75" top="1" bottom="1" header="0.5" footer="0.5"/>
  <pageSetup scale="7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Prop2020-Bd</vt:lpstr>
      <vt:lpstr>Income</vt:lpstr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2021-01-22T19:23:09Z</cp:lastPrinted>
  <dcterms:created xsi:type="dcterms:W3CDTF">2017-11-05T13:30:41Z</dcterms:created>
  <dcterms:modified xsi:type="dcterms:W3CDTF">2021-01-22T19:23:22Z</dcterms:modified>
</cp:coreProperties>
</file>