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miamemphis.sharepoint.com/sites/LegalStaff2/Shared Documents/Admin/Admin Files - AW/Strategic Planning/"/>
    </mc:Choice>
  </mc:AlternateContent>
  <bookViews>
    <workbookView xWindow="0" yWindow="0" windowWidth="28800" windowHeight="123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51" i="1" l="1"/>
  <c r="F2" i="1"/>
  <c r="C48" i="1" l="1"/>
  <c r="J61" i="1" l="1"/>
  <c r="H18" i="1" l="1"/>
  <c r="H43" i="1"/>
  <c r="E39" i="1" l="1"/>
  <c r="D15" i="1"/>
  <c r="D22" i="1"/>
  <c r="D44" i="1"/>
  <c r="D41" i="1"/>
  <c r="D39" i="1"/>
  <c r="D37" i="1"/>
  <c r="D35" i="1"/>
  <c r="D11" i="1"/>
  <c r="D12" i="1"/>
  <c r="F14" i="1"/>
  <c r="F11" i="1"/>
  <c r="F29" i="1"/>
  <c r="D2" i="1" l="1"/>
  <c r="K25" i="1" l="1"/>
  <c r="K61" i="1" s="1"/>
  <c r="K7" i="1"/>
  <c r="G7" i="1"/>
  <c r="I7" i="1"/>
  <c r="G25" i="1"/>
  <c r="G61" i="1" s="1"/>
  <c r="I33" i="1"/>
  <c r="C53" i="1"/>
  <c r="C47" i="1"/>
  <c r="C46" i="1"/>
  <c r="C41" i="1"/>
  <c r="C39" i="1"/>
  <c r="C38" i="1"/>
  <c r="C37" i="1"/>
  <c r="D20" i="1"/>
  <c r="D24" i="1"/>
  <c r="D21" i="1"/>
  <c r="H13" i="1"/>
  <c r="C15" i="1"/>
  <c r="D23" i="1"/>
  <c r="D14" i="1"/>
  <c r="I17" i="1" l="1"/>
  <c r="I11" i="1"/>
  <c r="I25" i="1" s="1"/>
  <c r="I61" i="1" s="1"/>
  <c r="H24" i="1" l="1"/>
  <c r="H23" i="1"/>
  <c r="H21" i="1"/>
  <c r="H20" i="1"/>
  <c r="H17" i="1"/>
  <c r="H14" i="1"/>
  <c r="H12" i="1"/>
  <c r="H11" i="1"/>
  <c r="H25" i="1" s="1"/>
  <c r="H2" i="1"/>
  <c r="E7" i="1"/>
  <c r="E35" i="1" l="1"/>
  <c r="E45" i="1"/>
  <c r="E43" i="1"/>
  <c r="B40" i="1" l="1"/>
  <c r="D40" i="1"/>
  <c r="D42" i="1"/>
  <c r="D52" i="1"/>
  <c r="F52" i="1"/>
  <c r="D43" i="1"/>
  <c r="D36" i="1"/>
  <c r="D45" i="1"/>
  <c r="D49" i="1"/>
  <c r="C49" i="1" s="1"/>
  <c r="D51" i="1"/>
  <c r="C51" i="1" s="1"/>
  <c r="C52" i="1" l="1"/>
  <c r="B35" i="1"/>
  <c r="F36" i="1" l="1"/>
  <c r="C36" i="1" s="1"/>
  <c r="F40" i="1"/>
  <c r="C40" i="1" s="1"/>
  <c r="F44" i="1"/>
  <c r="C44" i="1" s="1"/>
  <c r="F43" i="1"/>
  <c r="C43" i="1" s="1"/>
  <c r="F35" i="1"/>
  <c r="F42" i="1"/>
  <c r="C42" i="1" s="1"/>
  <c r="F45" i="1"/>
  <c r="C45" i="1" s="1"/>
  <c r="C4" i="1"/>
  <c r="C5" i="1"/>
  <c r="H7" i="1" l="1"/>
  <c r="H35" i="1"/>
  <c r="C35" i="1" s="1"/>
  <c r="H27" i="1" l="1"/>
  <c r="H61" i="1" l="1"/>
  <c r="H33" i="1"/>
  <c r="F32" i="1"/>
  <c r="F24" i="1"/>
  <c r="F23" i="1"/>
  <c r="F20" i="1"/>
  <c r="F12" i="1"/>
  <c r="F25" i="1" s="1"/>
  <c r="E21" i="1"/>
  <c r="E23" i="1"/>
  <c r="E22" i="1"/>
  <c r="E24" i="1"/>
  <c r="C24" i="1" s="1"/>
  <c r="E20" i="1"/>
  <c r="E18" i="1"/>
  <c r="E14" i="1"/>
  <c r="E13" i="1"/>
  <c r="E12" i="1"/>
  <c r="E11" i="1"/>
  <c r="E25" i="1" l="1"/>
  <c r="E27" i="1"/>
  <c r="C32" i="1"/>
  <c r="F33" i="1"/>
  <c r="F61" i="1"/>
  <c r="C29" i="1"/>
  <c r="E33" i="1" l="1"/>
  <c r="E61" i="1"/>
  <c r="C3" i="1"/>
  <c r="C22" i="1"/>
  <c r="C23" i="1"/>
  <c r="C20" i="1"/>
  <c r="C21" i="1"/>
  <c r="D19" i="1"/>
  <c r="C19" i="1" s="1"/>
  <c r="D18" i="1"/>
  <c r="C18" i="1" s="1"/>
  <c r="C17" i="1"/>
  <c r="D16" i="1"/>
  <c r="C16" i="1" s="1"/>
  <c r="C14" i="1"/>
  <c r="D13" i="1"/>
  <c r="C12" i="1"/>
  <c r="C13" i="1" l="1"/>
  <c r="D27" i="1"/>
  <c r="D25" i="1"/>
  <c r="C11" i="1"/>
  <c r="C25" i="1" s="1"/>
  <c r="D33" i="1"/>
  <c r="C33" i="1" s="1"/>
  <c r="B45" i="1"/>
  <c r="B52" i="1"/>
  <c r="B37" i="1"/>
  <c r="B44" i="1"/>
  <c r="B23" i="1"/>
  <c r="B22" i="1"/>
  <c r="B21" i="1"/>
  <c r="B20" i="1"/>
  <c r="B18" i="1"/>
  <c r="B14" i="1"/>
  <c r="B13" i="1"/>
  <c r="B12" i="1"/>
  <c r="B11" i="1"/>
  <c r="B25" i="1" s="1"/>
  <c r="B39" i="1"/>
  <c r="B38" i="1"/>
  <c r="B31" i="1"/>
  <c r="B32" i="1"/>
  <c r="B29" i="1"/>
  <c r="B28" i="1"/>
  <c r="B30" i="1"/>
  <c r="C61" i="1" l="1"/>
  <c r="B33" i="1"/>
  <c r="B61" i="1" s="1"/>
  <c r="D61" i="1"/>
  <c r="C27" i="1"/>
  <c r="F7" i="1"/>
  <c r="C2" i="1" l="1"/>
  <c r="C7" i="1" s="1"/>
  <c r="D7" i="1"/>
</calcChain>
</file>

<file path=xl/sharedStrings.xml><?xml version="1.0" encoding="utf-8"?>
<sst xmlns="http://schemas.openxmlformats.org/spreadsheetml/2006/main" count="68" uniqueCount="66">
  <si>
    <t>Revenue</t>
  </si>
  <si>
    <t>MIA Projected</t>
  </si>
  <si>
    <t>Total Budgeted</t>
  </si>
  <si>
    <t>UCP</t>
  </si>
  <si>
    <t>LOPC</t>
  </si>
  <si>
    <t>LAV</t>
  </si>
  <si>
    <t>Sliding-scale</t>
  </si>
  <si>
    <t>LOPE</t>
  </si>
  <si>
    <t>ELS</t>
  </si>
  <si>
    <t>CFGM</t>
  </si>
  <si>
    <t>General</t>
  </si>
  <si>
    <t>Grants &amp; Contracts</t>
  </si>
  <si>
    <t>Individual Donations</t>
  </si>
  <si>
    <t>Fees for services &amp; Filing Fee Reimb.</t>
  </si>
  <si>
    <t>Fundraisers and events</t>
  </si>
  <si>
    <t>Miscellaneous</t>
  </si>
  <si>
    <t>Total Revenue</t>
  </si>
  <si>
    <t>Expenses</t>
  </si>
  <si>
    <t>Staff salaries/wages</t>
  </si>
  <si>
    <t>S. Joyner, Interim ED</t>
  </si>
  <si>
    <t>A. Wannamaker, Managing Director</t>
  </si>
  <si>
    <t>C. Swatzell, Asylum Initiative Director</t>
  </si>
  <si>
    <t>C. Burriss, Staff Attorney</t>
  </si>
  <si>
    <t>Memphis Staff Attorney</t>
  </si>
  <si>
    <t>Nashville Staff Attorney</t>
  </si>
  <si>
    <t>S. Johnson, Fully Accredited Rep.</t>
  </si>
  <si>
    <t>I. Cornejo-Ortiz, Partially Accredited Rep.</t>
  </si>
  <si>
    <t>Case Manager/Social Worker</t>
  </si>
  <si>
    <t>M. Boldrin, Legal Assistant</t>
  </si>
  <si>
    <t>L. Melean, Asylum Initiative Coordinator</t>
  </si>
  <si>
    <t>L. Zavala, Children's Initiative Coordinator</t>
  </si>
  <si>
    <t>S. Roman, Legal Assistant</t>
  </si>
  <si>
    <t>Legal Assistant</t>
  </si>
  <si>
    <t>Total staff salaries/wages</t>
  </si>
  <si>
    <t>Benefits (Employer Contributions) - Unspecified</t>
  </si>
  <si>
    <t>SIMPLE IRA</t>
  </si>
  <si>
    <t>Health Insurance</t>
  </si>
  <si>
    <t>Disability Insurance</t>
  </si>
  <si>
    <t>Payroll Taxes (State)</t>
  </si>
  <si>
    <t>Payroll Taxes (Federal)</t>
  </si>
  <si>
    <t>Total Fringe</t>
  </si>
  <si>
    <t>Occupancy (rent)</t>
  </si>
  <si>
    <t>Liability Insurance</t>
  </si>
  <si>
    <t>Legal, accounting, consulting</t>
  </si>
  <si>
    <t>Payroll processing</t>
  </si>
  <si>
    <t>Equipment/Hardware</t>
  </si>
  <si>
    <t>Software</t>
  </si>
  <si>
    <t>Furniture &amp; Fixtures</t>
  </si>
  <si>
    <t>Supplies</t>
  </si>
  <si>
    <t>Printing and copying</t>
  </si>
  <si>
    <t>Telecommunications &amp; Internet</t>
  </si>
  <si>
    <t>Travel and meetings</t>
  </si>
  <si>
    <t>Marketing and advertising</t>
  </si>
  <si>
    <t>Staff training/development</t>
  </si>
  <si>
    <t>Bank &amp; PayPal Fees</t>
  </si>
  <si>
    <t>Filing &amp; Background Check Fees</t>
  </si>
  <si>
    <t>Postage &amp; Delivery</t>
  </si>
  <si>
    <t>Business Taxes &amp; Licensure</t>
  </si>
  <si>
    <t>General administration ("X" %)</t>
  </si>
  <si>
    <t>In-kind</t>
  </si>
  <si>
    <t>List item</t>
  </si>
  <si>
    <t>Total in-kind expenses</t>
  </si>
  <si>
    <t>Total Expenses</t>
  </si>
  <si>
    <t>Revenue over Expenses</t>
  </si>
  <si>
    <t>Subcontractors (CasaLuz)</t>
  </si>
  <si>
    <t>Contract services (other)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</si>
</sst>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0"/>
      <color indexed="12"/>
      <name val="Arial"/>
      <family val="2"/>
    </font>
    <font>
      <b/>
      <sz val="10"/>
      <color indexed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1" xfId="0" applyFont="1" applyBorder="1"/>
    <xf numFmtId="0" fontId="4" fillId="0" borderId="1" xfId="0" applyFont="1" applyBorder="1"/>
    <xf numFmtId="0" fontId="5" fillId="0" borderId="1" xfId="0" applyFont="1" applyBorder="1"/>
    <xf numFmtId="0" fontId="4" fillId="0" borderId="1" xfId="0" applyFont="1" applyBorder="1" applyAlignment="1">
      <alignment horizontal="right"/>
    </xf>
    <xf numFmtId="0" fontId="6" fillId="0" borderId="1" xfId="0" applyFont="1" applyBorder="1"/>
    <xf numFmtId="0" fontId="3" fillId="0" borderId="1" xfId="0" applyFont="1" applyBorder="1"/>
    <xf numFmtId="0" fontId="4" fillId="0" borderId="1" xfId="0" applyFont="1" applyBorder="1" applyAlignment="1">
      <alignment horizontal="left"/>
    </xf>
    <xf numFmtId="44" fontId="3" fillId="0" borderId="1" xfId="1" applyFont="1" applyBorder="1" applyAlignment="1">
      <alignment horizontal="center"/>
    </xf>
    <xf numFmtId="44" fontId="4" fillId="0" borderId="1" xfId="1" applyFont="1" applyBorder="1"/>
    <xf numFmtId="44" fontId="5" fillId="0" borderId="1" xfId="1" applyFont="1" applyBorder="1"/>
    <xf numFmtId="44" fontId="6" fillId="0" borderId="1" xfId="1" applyFont="1" applyBorder="1"/>
    <xf numFmtId="44" fontId="7" fillId="0" borderId="1" xfId="1" applyFont="1" applyBorder="1"/>
    <xf numFmtId="44" fontId="3" fillId="0" borderId="1" xfId="1" applyFont="1" applyBorder="1"/>
    <xf numFmtId="44" fontId="5" fillId="0" borderId="1" xfId="1" applyNumberFormat="1" applyFont="1" applyBorder="1"/>
    <xf numFmtId="44" fontId="4" fillId="0" borderId="1" xfId="1" applyNumberFormat="1" applyFont="1" applyBorder="1"/>
    <xf numFmtId="0" fontId="8" fillId="0" borderId="1" xfId="0" applyFont="1" applyBorder="1" applyAlignment="1">
      <alignment horizontal="right"/>
    </xf>
    <xf numFmtId="44" fontId="8" fillId="0" borderId="1" xfId="1" applyFont="1" applyBorder="1"/>
    <xf numFmtId="0" fontId="8" fillId="0" borderId="1" xfId="0" applyFont="1" applyBorder="1"/>
    <xf numFmtId="44" fontId="4" fillId="0" borderId="1" xfId="0" applyNumberFormat="1" applyFont="1" applyBorder="1"/>
    <xf numFmtId="0" fontId="7" fillId="0" borderId="1" xfId="0" applyFon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3"/>
  <sheetViews>
    <sheetView tabSelected="1" view="pageLayout" topLeftCell="A16" zoomScale="90" zoomScaleNormal="100" zoomScalePageLayoutView="90" workbookViewId="0">
      <selection activeCell="F50" sqref="F50"/>
    </sheetView>
  </sheetViews>
  <sheetFormatPr defaultRowHeight="12.75" x14ac:dyDescent="0.2"/>
  <cols>
    <col min="1" max="1" width="39.28515625" style="18" customWidth="1"/>
    <col min="2" max="3" width="13.85546875" style="17" customWidth="1"/>
    <col min="4" max="4" width="13.5703125" style="17" customWidth="1"/>
    <col min="5" max="5" width="13.42578125" style="17" customWidth="1"/>
    <col min="6" max="6" width="13.28515625" style="17" customWidth="1"/>
    <col min="7" max="7" width="12.7109375" style="17" customWidth="1"/>
    <col min="8" max="8" width="14" style="17" customWidth="1"/>
    <col min="9" max="9" width="12.28515625" style="17" customWidth="1"/>
    <col min="10" max="11" width="12.140625" style="17" customWidth="1"/>
    <col min="12" max="16384" width="9.140625" style="18"/>
  </cols>
  <sheetData>
    <row r="1" spans="1:11" s="2" customFormat="1" x14ac:dyDescent="0.2">
      <c r="A1" s="1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8" t="s">
        <v>8</v>
      </c>
      <c r="J1" s="8" t="s">
        <v>9</v>
      </c>
      <c r="K1" s="8" t="s">
        <v>10</v>
      </c>
    </row>
    <row r="2" spans="1:11" s="2" customFormat="1" x14ac:dyDescent="0.2">
      <c r="A2" s="2" t="s">
        <v>11</v>
      </c>
      <c r="B2" s="9"/>
      <c r="C2" s="9">
        <f>SUM(D2:K2)</f>
        <v>957836.6</v>
      </c>
      <c r="D2" s="9">
        <f>69058.06+118868.76+313949.37</f>
        <v>501876.19</v>
      </c>
      <c r="E2" s="9">
        <v>96202.67</v>
      </c>
      <c r="F2" s="9">
        <f>200000+3000</f>
        <v>203000</v>
      </c>
      <c r="G2" s="9">
        <v>3000</v>
      </c>
      <c r="H2" s="9">
        <f>61949.87*2</f>
        <v>123899.74</v>
      </c>
      <c r="I2" s="9">
        <v>29858</v>
      </c>
      <c r="J2" s="9">
        <v>0</v>
      </c>
      <c r="K2" s="9"/>
    </row>
    <row r="3" spans="1:11" s="2" customFormat="1" x14ac:dyDescent="0.2">
      <c r="A3" s="2" t="s">
        <v>12</v>
      </c>
      <c r="B3" s="9"/>
      <c r="C3" s="9">
        <f>SUM(D3:K3)</f>
        <v>14000</v>
      </c>
      <c r="D3" s="9"/>
      <c r="E3" s="9"/>
      <c r="F3" s="9"/>
      <c r="G3" s="9"/>
      <c r="H3" s="9">
        <v>2000</v>
      </c>
      <c r="I3" s="9"/>
      <c r="J3" s="9"/>
      <c r="K3" s="9">
        <v>12000</v>
      </c>
    </row>
    <row r="4" spans="1:11" s="2" customFormat="1" x14ac:dyDescent="0.2">
      <c r="A4" s="2" t="s">
        <v>13</v>
      </c>
      <c r="B4" s="9"/>
      <c r="C4" s="9">
        <f>SUM(D4:K4)</f>
        <v>7000</v>
      </c>
      <c r="D4" s="9"/>
      <c r="E4" s="9"/>
      <c r="F4" s="9">
        <v>2000</v>
      </c>
      <c r="G4" s="9">
        <v>5000</v>
      </c>
      <c r="H4" s="9"/>
      <c r="I4" s="9"/>
      <c r="J4" s="9"/>
    </row>
    <row r="5" spans="1:11" s="2" customFormat="1" x14ac:dyDescent="0.2">
      <c r="A5" s="2" t="s">
        <v>14</v>
      </c>
      <c r="B5" s="9"/>
      <c r="C5" s="9">
        <f>SUM(D5:K5)</f>
        <v>5000</v>
      </c>
      <c r="D5" s="9"/>
      <c r="E5" s="9"/>
      <c r="F5" s="9"/>
      <c r="G5" s="9"/>
      <c r="H5" s="9">
        <v>2000</v>
      </c>
      <c r="I5" s="9"/>
      <c r="J5" s="9"/>
      <c r="K5" s="9">
        <v>3000</v>
      </c>
    </row>
    <row r="6" spans="1:11" s="2" customFormat="1" x14ac:dyDescent="0.2">
      <c r="A6" s="2" t="s">
        <v>15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s="5" customFormat="1" x14ac:dyDescent="0.2">
      <c r="A7" s="3" t="s">
        <v>16</v>
      </c>
      <c r="B7" s="10"/>
      <c r="C7" s="10">
        <f t="shared" ref="C7:I7" si="0">SUM(C2:C6)</f>
        <v>983836.6</v>
      </c>
      <c r="D7" s="10">
        <f t="shared" si="0"/>
        <v>501876.19</v>
      </c>
      <c r="E7" s="10">
        <f t="shared" si="0"/>
        <v>96202.67</v>
      </c>
      <c r="F7" s="10">
        <f t="shared" si="0"/>
        <v>205000</v>
      </c>
      <c r="G7" s="10">
        <f t="shared" si="0"/>
        <v>8000</v>
      </c>
      <c r="H7" s="10">
        <f t="shared" si="0"/>
        <v>127899.74</v>
      </c>
      <c r="I7" s="10">
        <f t="shared" si="0"/>
        <v>29858</v>
      </c>
      <c r="J7" s="10"/>
      <c r="K7" s="10">
        <f>SUM(K2:K6)</f>
        <v>15000</v>
      </c>
    </row>
    <row r="8" spans="1:11" s="2" customFormat="1" ht="21" customHeight="1" x14ac:dyDescent="0.2">
      <c r="B8" s="9"/>
      <c r="C8" s="9"/>
      <c r="D8" s="9"/>
      <c r="E8" s="9"/>
      <c r="F8" s="9"/>
      <c r="G8" s="9"/>
      <c r="H8" s="9"/>
      <c r="I8" s="9"/>
      <c r="J8" s="9"/>
      <c r="K8" s="9"/>
    </row>
    <row r="9" spans="1:11" s="2" customFormat="1" x14ac:dyDescent="0.2">
      <c r="A9" s="1" t="s">
        <v>17</v>
      </c>
      <c r="B9" s="8"/>
      <c r="C9" s="8"/>
      <c r="D9" s="8"/>
      <c r="E9" s="8"/>
      <c r="F9" s="8"/>
      <c r="G9" s="8"/>
      <c r="H9" s="8"/>
      <c r="I9" s="8"/>
      <c r="J9" s="8"/>
      <c r="K9" s="8"/>
    </row>
    <row r="10" spans="1:11" s="2" customFormat="1" x14ac:dyDescent="0.2">
      <c r="A10" s="2" t="s">
        <v>18</v>
      </c>
      <c r="B10" s="9"/>
      <c r="C10" s="9"/>
      <c r="D10" s="9"/>
      <c r="E10" s="9"/>
      <c r="F10" s="9"/>
      <c r="G10" s="9"/>
      <c r="H10" s="9"/>
      <c r="I10" s="9"/>
      <c r="J10" s="9"/>
      <c r="K10" s="9"/>
    </row>
    <row r="11" spans="1:11" s="2" customFormat="1" x14ac:dyDescent="0.2">
      <c r="A11" s="4" t="s">
        <v>19</v>
      </c>
      <c r="B11" s="9">
        <f>53045*1.03</f>
        <v>54636.35</v>
      </c>
      <c r="C11" s="9">
        <f t="shared" ref="C11:C24" si="1">SUM(D11:K11)</f>
        <v>52796.037000000004</v>
      </c>
      <c r="D11" s="9">
        <f>(53045*0.25)+15000</f>
        <v>28261.25</v>
      </c>
      <c r="E11" s="9">
        <f>47740.5*0.05</f>
        <v>2387.0250000000001</v>
      </c>
      <c r="F11" s="9">
        <f>(53045*0.54)-15000</f>
        <v>13644.300000000003</v>
      </c>
      <c r="G11" s="9">
        <v>5000</v>
      </c>
      <c r="H11" s="9">
        <f>(23833.12*0.05)*2</f>
        <v>2383.3119999999999</v>
      </c>
      <c r="I11" s="9">
        <f>22403*0.05</f>
        <v>1120.1500000000001</v>
      </c>
      <c r="J11" s="9"/>
      <c r="K11" s="9"/>
    </row>
    <row r="12" spans="1:11" s="2" customFormat="1" x14ac:dyDescent="0.2">
      <c r="A12" s="4" t="s">
        <v>20</v>
      </c>
      <c r="B12" s="9">
        <f>34100.35*1.03</f>
        <v>35123.360500000003</v>
      </c>
      <c r="C12" s="9">
        <f t="shared" si="1"/>
        <v>35171.6495</v>
      </c>
      <c r="D12" s="9">
        <f>(34100.35*0.55)+5000</f>
        <v>23755.192500000001</v>
      </c>
      <c r="E12" s="9">
        <f>34100.35*0.1</f>
        <v>3410.0349999999999</v>
      </c>
      <c r="F12" s="9">
        <f>34100.35*0.1</f>
        <v>3410.0349999999999</v>
      </c>
      <c r="G12" s="9"/>
      <c r="H12" s="9">
        <f>(15321.29*0.15)*2</f>
        <v>4596.3869999999997</v>
      </c>
      <c r="I12" s="9"/>
      <c r="J12" s="9"/>
      <c r="K12" s="9"/>
    </row>
    <row r="13" spans="1:11" ht="13.5" customHeight="1" x14ac:dyDescent="0.2">
      <c r="A13" s="16" t="s">
        <v>21</v>
      </c>
      <c r="B13" s="17">
        <f>53045*1.03</f>
        <v>54636.35</v>
      </c>
      <c r="C13" s="17">
        <f t="shared" si="1"/>
        <v>52865.622000000003</v>
      </c>
      <c r="D13" s="17">
        <f>53045*0.2</f>
        <v>10609</v>
      </c>
      <c r="E13" s="17">
        <f>53045*0.15</f>
        <v>7956.75</v>
      </c>
      <c r="H13" s="17">
        <f>((23833.12*0.3)*2)+20000</f>
        <v>34299.872000000003</v>
      </c>
    </row>
    <row r="14" spans="1:11" s="2" customFormat="1" x14ac:dyDescent="0.2">
      <c r="A14" s="4" t="s">
        <v>22</v>
      </c>
      <c r="B14" s="9">
        <f>47740.5*1.03</f>
        <v>49172.715000000004</v>
      </c>
      <c r="C14" s="9">
        <f t="shared" si="1"/>
        <v>48578.012000000002</v>
      </c>
      <c r="D14" s="9">
        <f>(47740*0.95)-10000</f>
        <v>35353</v>
      </c>
      <c r="E14" s="9">
        <f>47740.5*0.1</f>
        <v>4774.05</v>
      </c>
      <c r="F14" s="9">
        <f>(47740*0.15)-3000</f>
        <v>4161</v>
      </c>
      <c r="G14" s="9"/>
      <c r="H14" s="9">
        <f>(21449.81*0.1)*2</f>
        <v>4289.9620000000004</v>
      </c>
      <c r="I14" s="9"/>
      <c r="J14" s="9"/>
      <c r="K14" s="9"/>
    </row>
    <row r="15" spans="1:11" s="2" customFormat="1" x14ac:dyDescent="0.2">
      <c r="A15" s="4" t="s">
        <v>23</v>
      </c>
      <c r="B15" s="9">
        <v>46000</v>
      </c>
      <c r="C15" s="9">
        <f>SUM(D15:I15)</f>
        <v>36000</v>
      </c>
      <c r="D15" s="9">
        <f>15000+13000</f>
        <v>28000</v>
      </c>
      <c r="E15" s="9"/>
      <c r="F15" s="9"/>
      <c r="G15" s="9"/>
      <c r="H15" s="9">
        <v>8000</v>
      </c>
      <c r="I15" s="9"/>
      <c r="J15" s="9"/>
      <c r="K15" s="9">
        <v>15000</v>
      </c>
    </row>
    <row r="16" spans="1:11" s="2" customFormat="1" x14ac:dyDescent="0.2">
      <c r="A16" s="4" t="s">
        <v>24</v>
      </c>
      <c r="B16" s="9">
        <v>47000</v>
      </c>
      <c r="C16" s="9">
        <f t="shared" si="1"/>
        <v>47000</v>
      </c>
      <c r="D16" s="9">
        <f>47000</f>
        <v>47000</v>
      </c>
      <c r="E16" s="9"/>
      <c r="F16" s="9"/>
      <c r="G16" s="9"/>
      <c r="H16" s="9"/>
      <c r="I16" s="9"/>
      <c r="J16" s="9"/>
      <c r="K16" s="9"/>
    </row>
    <row r="17" spans="1:11" s="2" customFormat="1" x14ac:dyDescent="0.2">
      <c r="A17" s="4" t="s">
        <v>25</v>
      </c>
      <c r="B17" s="9">
        <v>41000</v>
      </c>
      <c r="C17" s="9">
        <f t="shared" si="1"/>
        <v>41197.53</v>
      </c>
      <c r="D17" s="9">
        <v>6500</v>
      </c>
      <c r="E17" s="9"/>
      <c r="F17" s="9">
        <v>10000</v>
      </c>
      <c r="G17" s="9"/>
      <c r="H17" s="9">
        <f>(17073.4*0.1)*2</f>
        <v>3414.6800000000003</v>
      </c>
      <c r="I17" s="9">
        <f>22403-1120.15</f>
        <v>21282.85</v>
      </c>
      <c r="J17" s="9"/>
      <c r="K17" s="9"/>
    </row>
    <row r="18" spans="1:11" s="2" customFormat="1" x14ac:dyDescent="0.2">
      <c r="A18" s="4" t="s">
        <v>26</v>
      </c>
      <c r="B18" s="9">
        <f>24*35*52</f>
        <v>43680</v>
      </c>
      <c r="C18" s="9">
        <f t="shared" si="1"/>
        <v>42259.34</v>
      </c>
      <c r="D18" s="9">
        <f>38213*0.5</f>
        <v>19106.5</v>
      </c>
      <c r="E18" s="9">
        <f>38213*0.4</f>
        <v>15285.2</v>
      </c>
      <c r="F18" s="9"/>
      <c r="G18" s="9"/>
      <c r="H18" s="9">
        <f>((17169.1*0.2)*2)+1000</f>
        <v>7867.6399999999994</v>
      </c>
      <c r="I18" s="9"/>
      <c r="J18" s="9"/>
      <c r="K18" s="9"/>
    </row>
    <row r="19" spans="1:11" s="2" customFormat="1" x14ac:dyDescent="0.2">
      <c r="A19" s="4" t="s">
        <v>27</v>
      </c>
      <c r="B19" s="9">
        <v>40000</v>
      </c>
      <c r="C19" s="9">
        <f t="shared" si="1"/>
        <v>36000</v>
      </c>
      <c r="D19" s="9">
        <f>40000*0.9</f>
        <v>36000</v>
      </c>
      <c r="E19" s="9"/>
      <c r="F19" s="9"/>
      <c r="G19" s="9"/>
      <c r="H19" s="9"/>
      <c r="I19" s="9"/>
      <c r="J19" s="9"/>
      <c r="K19" s="9"/>
    </row>
    <row r="20" spans="1:11" s="2" customFormat="1" x14ac:dyDescent="0.2">
      <c r="A20" s="4" t="s">
        <v>28</v>
      </c>
      <c r="B20" s="9">
        <f>36000*1.03</f>
        <v>37080</v>
      </c>
      <c r="C20" s="9">
        <f t="shared" si="1"/>
        <v>35822.121333333329</v>
      </c>
      <c r="D20" s="9">
        <f>(36000*0.5)+3000+2000</f>
        <v>23000</v>
      </c>
      <c r="E20" s="9">
        <f>36000*0.17</f>
        <v>6120</v>
      </c>
      <c r="F20" s="9">
        <f>34937.6*0.29/3</f>
        <v>3377.3013333333329</v>
      </c>
      <c r="G20" s="9"/>
      <c r="H20" s="9">
        <f>(16624.1*0.1)*2</f>
        <v>3324.8199999999997</v>
      </c>
      <c r="I20" s="9"/>
      <c r="J20" s="9"/>
      <c r="K20" s="9"/>
    </row>
    <row r="21" spans="1:11" s="2" customFormat="1" x14ac:dyDescent="0.2">
      <c r="A21" s="4" t="s">
        <v>29</v>
      </c>
      <c r="B21" s="9">
        <f>38000*1.03</f>
        <v>39140</v>
      </c>
      <c r="C21" s="9">
        <f t="shared" si="1"/>
        <v>39124.46</v>
      </c>
      <c r="D21" s="9">
        <f>(38000*0.7)-3000</f>
        <v>23600</v>
      </c>
      <c r="E21" s="9">
        <f>37000*0.15</f>
        <v>5550</v>
      </c>
      <c r="F21" s="9"/>
      <c r="G21" s="9"/>
      <c r="H21" s="9">
        <f>(16624.1*0.3)*2</f>
        <v>9974.4599999999991</v>
      </c>
      <c r="I21" s="9"/>
      <c r="J21" s="9"/>
      <c r="K21" s="9"/>
    </row>
    <row r="22" spans="1:11" s="2" customFormat="1" x14ac:dyDescent="0.2">
      <c r="A22" s="4" t="s">
        <v>30</v>
      </c>
      <c r="B22" s="9">
        <f>38000*1.03</f>
        <v>39140</v>
      </c>
      <c r="C22" s="9">
        <f t="shared" si="1"/>
        <v>39500</v>
      </c>
      <c r="D22" s="9">
        <f>38000-8000</f>
        <v>30000</v>
      </c>
      <c r="E22" s="9">
        <f>38000*0.25</f>
        <v>9500</v>
      </c>
      <c r="F22" s="9"/>
      <c r="G22" s="9"/>
      <c r="H22" s="9"/>
      <c r="I22" s="9"/>
      <c r="J22" s="9"/>
      <c r="K22" s="9"/>
    </row>
    <row r="23" spans="1:11" s="2" customFormat="1" x14ac:dyDescent="0.2">
      <c r="A23" s="4" t="s">
        <v>31</v>
      </c>
      <c r="B23" s="9">
        <f>36000*1.03</f>
        <v>37080</v>
      </c>
      <c r="C23" s="9">
        <f t="shared" si="1"/>
        <v>37328.501333333334</v>
      </c>
      <c r="D23" s="9">
        <f>(36000*0.5)-1000</f>
        <v>17000</v>
      </c>
      <c r="E23" s="9">
        <f>34937.6*0.3</f>
        <v>10481.279999999999</v>
      </c>
      <c r="F23" s="9">
        <f>34937.6*0.29/3</f>
        <v>3377.3013333333329</v>
      </c>
      <c r="G23" s="9"/>
      <c r="H23" s="9">
        <f>(16174.8*0.2)*2</f>
        <v>6469.92</v>
      </c>
      <c r="I23" s="9"/>
      <c r="J23" s="9"/>
      <c r="K23" s="9"/>
    </row>
    <row r="24" spans="1:11" s="2" customFormat="1" x14ac:dyDescent="0.2">
      <c r="A24" s="4" t="s">
        <v>32</v>
      </c>
      <c r="B24" s="9">
        <v>36000</v>
      </c>
      <c r="C24" s="9">
        <f t="shared" si="1"/>
        <v>35917.141333333333</v>
      </c>
      <c r="D24" s="9">
        <f>10000+1000+5000</f>
        <v>16000</v>
      </c>
      <c r="E24" s="9">
        <f>36000*0.1</f>
        <v>3600</v>
      </c>
      <c r="F24" s="9">
        <f>34937.6*0.29/3</f>
        <v>3377.3013333333329</v>
      </c>
      <c r="G24" s="9"/>
      <c r="H24" s="9">
        <f>(21566.4*0.3)*2</f>
        <v>12939.84</v>
      </c>
      <c r="I24" s="9"/>
      <c r="J24" s="9"/>
      <c r="K24" s="9"/>
    </row>
    <row r="25" spans="1:11" s="2" customFormat="1" x14ac:dyDescent="0.2">
      <c r="A25" s="7" t="s">
        <v>33</v>
      </c>
      <c r="B25" s="9">
        <f t="shared" ref="B25:I25" si="2">SUM(B11:B24)</f>
        <v>599688.77549999999</v>
      </c>
      <c r="C25" s="9">
        <f t="shared" si="2"/>
        <v>579560.41450000007</v>
      </c>
      <c r="D25" s="9">
        <f t="shared" si="2"/>
        <v>344184.9425</v>
      </c>
      <c r="E25" s="9">
        <f t="shared" si="2"/>
        <v>69064.34</v>
      </c>
      <c r="F25" s="9">
        <f t="shared" si="2"/>
        <v>41347.239000000001</v>
      </c>
      <c r="G25" s="9">
        <f t="shared" si="2"/>
        <v>5000</v>
      </c>
      <c r="H25" s="19">
        <f t="shared" si="2"/>
        <v>97560.892999999996</v>
      </c>
      <c r="I25" s="19">
        <f t="shared" si="2"/>
        <v>22403</v>
      </c>
      <c r="J25" s="9"/>
      <c r="K25" s="9">
        <f>SUM(K11:K24)</f>
        <v>15000</v>
      </c>
    </row>
    <row r="26" spans="1:11" s="2" customFormat="1" x14ac:dyDescent="0.2">
      <c r="A26" s="7"/>
      <c r="B26" s="9"/>
      <c r="C26" s="9"/>
      <c r="D26" s="9"/>
      <c r="E26" s="9"/>
      <c r="F26" s="9"/>
      <c r="G26" s="9"/>
      <c r="H26" s="19"/>
      <c r="I26" s="19"/>
      <c r="J26" s="9"/>
      <c r="K26" s="9"/>
    </row>
    <row r="27" spans="1:11" s="2" customFormat="1" x14ac:dyDescent="0.2">
      <c r="A27" s="4" t="s">
        <v>34</v>
      </c>
      <c r="B27" s="9"/>
      <c r="C27" s="9">
        <f>SUM(D27:K27)</f>
        <v>138728.87691249998</v>
      </c>
      <c r="D27" s="15">
        <f>(SUM(D11:D24)*0.345)-10000</f>
        <v>108743.80516249999</v>
      </c>
      <c r="E27" s="9">
        <f>(SUM(E11:E24)*0.17)-200</f>
        <v>11540.9378</v>
      </c>
      <c r="G27" s="9"/>
      <c r="H27" s="9">
        <f>SUM(H11:H24)*0.15</f>
        <v>14634.133949999999</v>
      </c>
      <c r="I27" s="9">
        <v>3810</v>
      </c>
      <c r="J27" s="9"/>
      <c r="K27" s="9"/>
    </row>
    <row r="28" spans="1:11" s="2" customFormat="1" x14ac:dyDescent="0.2">
      <c r="A28" s="4" t="s">
        <v>35</v>
      </c>
      <c r="B28" s="9">
        <f>900*12</f>
        <v>10800</v>
      </c>
      <c r="C28" s="9"/>
      <c r="D28" s="9"/>
      <c r="F28" s="9"/>
      <c r="G28" s="9"/>
      <c r="H28" s="9"/>
      <c r="I28" s="9"/>
      <c r="J28" s="9"/>
      <c r="K28" s="9"/>
    </row>
    <row r="29" spans="1:11" s="2" customFormat="1" x14ac:dyDescent="0.2">
      <c r="A29" s="4" t="s">
        <v>36</v>
      </c>
      <c r="B29" s="9">
        <f>200*7*12</f>
        <v>16800</v>
      </c>
      <c r="C29" s="9">
        <f>SUM(D29:K29)</f>
        <v>5688</v>
      </c>
      <c r="D29" s="9"/>
      <c r="F29" s="9">
        <f>3888+1080+720</f>
        <v>5688</v>
      </c>
      <c r="G29" s="9"/>
      <c r="H29" s="9"/>
      <c r="I29" s="9"/>
      <c r="J29" s="9"/>
      <c r="K29" s="9"/>
    </row>
    <row r="30" spans="1:11" s="2" customFormat="1" x14ac:dyDescent="0.2">
      <c r="A30" s="4" t="s">
        <v>37</v>
      </c>
      <c r="B30" s="9">
        <f>89.74*12</f>
        <v>1076.8799999999999</v>
      </c>
      <c r="C30" s="9"/>
      <c r="D30" s="9"/>
      <c r="F30" s="9"/>
      <c r="G30" s="9"/>
      <c r="H30" s="9"/>
      <c r="I30" s="9"/>
      <c r="J30" s="9"/>
      <c r="K30" s="9"/>
    </row>
    <row r="31" spans="1:11" s="2" customFormat="1" x14ac:dyDescent="0.2">
      <c r="A31" s="4" t="s">
        <v>38</v>
      </c>
      <c r="B31" s="9">
        <f>((172.15+332.79)*2)+(50*12)</f>
        <v>1609.88</v>
      </c>
      <c r="C31" s="9"/>
      <c r="D31" s="9"/>
      <c r="F31" s="9"/>
      <c r="G31" s="9"/>
      <c r="H31" s="9"/>
      <c r="I31" s="9"/>
      <c r="J31" s="9"/>
      <c r="K31" s="9"/>
    </row>
    <row r="32" spans="1:11" s="2" customFormat="1" x14ac:dyDescent="0.2">
      <c r="A32" s="4" t="s">
        <v>39</v>
      </c>
      <c r="B32" s="9">
        <f>(4510.19+4604.36+4213.76+5083.31+6246.6+3864.06+8325.74+11086.18)*1.5</f>
        <v>71901.3</v>
      </c>
      <c r="C32" s="9">
        <f>SUM(D32:K32)</f>
        <v>11325.210000000001</v>
      </c>
      <c r="D32" s="9"/>
      <c r="F32" s="9">
        <f>6573.87+1643.47+782.6+2325.27</f>
        <v>11325.210000000001</v>
      </c>
      <c r="G32" s="9"/>
      <c r="H32" s="9"/>
      <c r="I32" s="9"/>
      <c r="J32" s="9"/>
      <c r="K32" s="9"/>
    </row>
    <row r="33" spans="1:11" s="2" customFormat="1" x14ac:dyDescent="0.2">
      <c r="A33" s="7" t="s">
        <v>40</v>
      </c>
      <c r="B33" s="9">
        <f>SUM(B27:B32)</f>
        <v>102188.06</v>
      </c>
      <c r="C33" s="9">
        <f>SUM(D33:K33)</f>
        <v>155742.08691249997</v>
      </c>
      <c r="D33" s="9">
        <f>SUM(D27:D32)</f>
        <v>108743.80516249999</v>
      </c>
      <c r="E33" s="9">
        <f>SUM(E27:E32)</f>
        <v>11540.9378</v>
      </c>
      <c r="F33" s="9">
        <f>SUM(F27:F32)</f>
        <v>17013.21</v>
      </c>
      <c r="G33" s="9"/>
      <c r="H33" s="9">
        <f>SUM(H27:H32)</f>
        <v>14634.133949999999</v>
      </c>
      <c r="I33" s="9">
        <f>SUM(I27:I32)</f>
        <v>3810</v>
      </c>
      <c r="J33" s="9"/>
      <c r="K33" s="9"/>
    </row>
    <row r="34" spans="1:11" s="2" customFormat="1" x14ac:dyDescent="0.2">
      <c r="A34" s="4"/>
      <c r="B34" s="9"/>
      <c r="C34" s="9"/>
      <c r="D34" s="9"/>
      <c r="E34" s="9"/>
      <c r="F34" s="9"/>
      <c r="G34" s="9"/>
      <c r="I34" s="9"/>
      <c r="J34" s="9"/>
      <c r="K34" s="9"/>
    </row>
    <row r="35" spans="1:11" s="2" customFormat="1" x14ac:dyDescent="0.2">
      <c r="A35" s="2" t="s">
        <v>41</v>
      </c>
      <c r="B35" s="9">
        <f>(2088.75+750)*12</f>
        <v>34065</v>
      </c>
      <c r="C35" s="9">
        <f t="shared" ref="C35:C49" si="3">SUM(D35:K35)</f>
        <v>24447.43</v>
      </c>
      <c r="D35" s="9">
        <f>1378.58+2250+2255.85+4050+1000</f>
        <v>10934.43</v>
      </c>
      <c r="E35" s="9">
        <f>2808+1000</f>
        <v>3808</v>
      </c>
      <c r="F35" s="9">
        <f>1560*0.25*12</f>
        <v>4680</v>
      </c>
      <c r="G35" s="9"/>
      <c r="H35" s="9">
        <f>2500*0.15*6.6</f>
        <v>2475</v>
      </c>
      <c r="I35" s="9">
        <v>2550</v>
      </c>
      <c r="J35" s="9"/>
      <c r="K35" s="9"/>
    </row>
    <row r="36" spans="1:11" s="2" customFormat="1" x14ac:dyDescent="0.2">
      <c r="A36" s="2" t="s">
        <v>42</v>
      </c>
      <c r="B36" s="9">
        <v>3000</v>
      </c>
      <c r="C36" s="9">
        <f t="shared" si="3"/>
        <v>3709.2</v>
      </c>
      <c r="D36" s="9">
        <f>1560</f>
        <v>1560</v>
      </c>
      <c r="E36" s="9">
        <v>278.19</v>
      </c>
      <c r="F36" s="9">
        <f>623.67*12*0.25</f>
        <v>1871.0099999999998</v>
      </c>
      <c r="G36" s="9"/>
      <c r="H36" s="9"/>
      <c r="I36" s="9"/>
      <c r="J36" s="9"/>
      <c r="K36" s="9"/>
    </row>
    <row r="37" spans="1:11" s="2" customFormat="1" x14ac:dyDescent="0.2">
      <c r="A37" s="2" t="s">
        <v>43</v>
      </c>
      <c r="B37" s="9">
        <f>(225*12)+8000+7000</f>
        <v>17700</v>
      </c>
      <c r="C37" s="9">
        <f t="shared" si="3"/>
        <v>10360</v>
      </c>
      <c r="D37" s="9">
        <f>520+720+3120+1000</f>
        <v>5360</v>
      </c>
      <c r="E37" s="9"/>
      <c r="F37" s="9"/>
      <c r="G37" s="9"/>
      <c r="H37" s="9"/>
      <c r="I37" s="9"/>
      <c r="J37" s="9">
        <v>5000</v>
      </c>
      <c r="K37" s="9"/>
    </row>
    <row r="38" spans="1:11" s="2" customFormat="1" x14ac:dyDescent="0.2">
      <c r="A38" s="2" t="s">
        <v>44</v>
      </c>
      <c r="B38" s="9">
        <f>80*12</f>
        <v>960</v>
      </c>
      <c r="C38" s="9">
        <f t="shared" si="3"/>
        <v>702</v>
      </c>
      <c r="D38" s="9">
        <v>702</v>
      </c>
      <c r="E38" s="9"/>
      <c r="F38" s="9"/>
      <c r="G38" s="9"/>
      <c r="H38" s="9"/>
      <c r="I38" s="9"/>
      <c r="J38" s="9"/>
      <c r="K38" s="9"/>
    </row>
    <row r="39" spans="1:11" s="2" customFormat="1" x14ac:dyDescent="0.2">
      <c r="A39" s="2" t="s">
        <v>45</v>
      </c>
      <c r="B39" s="9">
        <f>(203.07*12)+2000</f>
        <v>4436.84</v>
      </c>
      <c r="C39" s="9">
        <f t="shared" si="3"/>
        <v>3305</v>
      </c>
      <c r="D39" s="9">
        <f>250+125+450+150+300+1000</f>
        <v>2275</v>
      </c>
      <c r="E39" s="9">
        <f>50+300+200+500-20</f>
        <v>1030</v>
      </c>
      <c r="F39" s="9"/>
      <c r="G39" s="9"/>
      <c r="H39" s="9"/>
      <c r="I39" s="9"/>
      <c r="J39" s="9"/>
      <c r="K39" s="9"/>
    </row>
    <row r="40" spans="1:11" s="2" customFormat="1" x14ac:dyDescent="0.2">
      <c r="A40" s="2" t="s">
        <v>46</v>
      </c>
      <c r="B40" s="9">
        <f>(29.5*12)+500+2500</f>
        <v>3354</v>
      </c>
      <c r="C40" s="9">
        <f t="shared" si="3"/>
        <v>2668.63</v>
      </c>
      <c r="D40" s="9">
        <f>37.38+265.97+61.16+368.27+1860.85</f>
        <v>2593.63</v>
      </c>
      <c r="E40" s="9"/>
      <c r="F40" s="9">
        <f>25*0.25*12</f>
        <v>75</v>
      </c>
      <c r="G40" s="9"/>
      <c r="H40" s="9"/>
      <c r="I40" s="9"/>
      <c r="J40" s="9"/>
      <c r="K40" s="9"/>
    </row>
    <row r="41" spans="1:11" s="2" customFormat="1" x14ac:dyDescent="0.2">
      <c r="A41" s="2" t="s">
        <v>47</v>
      </c>
      <c r="B41" s="9">
        <v>2500</v>
      </c>
      <c r="C41" s="9">
        <f t="shared" si="3"/>
        <v>1750</v>
      </c>
      <c r="D41" s="9">
        <f>500+1000</f>
        <v>1500</v>
      </c>
      <c r="E41" s="9"/>
      <c r="F41" s="9"/>
      <c r="G41" s="9"/>
      <c r="H41" s="9"/>
      <c r="I41" s="9">
        <v>250</v>
      </c>
      <c r="J41" s="9"/>
      <c r="K41" s="9"/>
    </row>
    <row r="42" spans="1:11" s="2" customFormat="1" x14ac:dyDescent="0.2">
      <c r="A42" s="2" t="s">
        <v>48</v>
      </c>
      <c r="B42" s="9">
        <v>3000</v>
      </c>
      <c r="C42" s="9">
        <f t="shared" si="3"/>
        <v>2475</v>
      </c>
      <c r="D42" s="9">
        <f>240+360+585</f>
        <v>1185</v>
      </c>
      <c r="E42" s="9">
        <v>500</v>
      </c>
      <c r="F42" s="9">
        <f>20*12</f>
        <v>240</v>
      </c>
      <c r="G42" s="9"/>
      <c r="H42" s="9">
        <v>550</v>
      </c>
      <c r="I42" s="9"/>
      <c r="J42" s="9"/>
      <c r="K42" s="9"/>
    </row>
    <row r="43" spans="1:11" s="2" customFormat="1" x14ac:dyDescent="0.2">
      <c r="A43" s="2" t="s">
        <v>49</v>
      </c>
      <c r="B43" s="9">
        <v>3000</v>
      </c>
      <c r="C43" s="9">
        <f t="shared" si="3"/>
        <v>8042</v>
      </c>
      <c r="D43" s="9">
        <f>240+480+936</f>
        <v>1656</v>
      </c>
      <c r="E43" s="9">
        <f>500+500+1500</f>
        <v>2500</v>
      </c>
      <c r="F43" s="9">
        <f>40*12</f>
        <v>480</v>
      </c>
      <c r="G43" s="9"/>
      <c r="H43" s="9">
        <f>1056+2000</f>
        <v>3056</v>
      </c>
      <c r="I43" s="9">
        <v>350</v>
      </c>
      <c r="J43" s="9"/>
      <c r="K43" s="9"/>
    </row>
    <row r="44" spans="1:11" s="2" customFormat="1" x14ac:dyDescent="0.2">
      <c r="A44" s="2" t="s">
        <v>50</v>
      </c>
      <c r="B44" s="9">
        <f>(317.23*12)+(249.95*12)+(35.92*12)+(16.95*12)</f>
        <v>7440.5999999999995</v>
      </c>
      <c r="C44" s="9">
        <f t="shared" si="3"/>
        <v>6470.88</v>
      </c>
      <c r="D44" s="9">
        <f>247.44+194.96+13.22+27.63+720+342.61+269.95+18.31+38.25+1080+2000</f>
        <v>4952.37</v>
      </c>
      <c r="E44" s="9"/>
      <c r="F44" s="9">
        <f>(256.22+249.95)*12*0.25</f>
        <v>1518.51</v>
      </c>
      <c r="G44" s="9"/>
      <c r="H44" s="9"/>
      <c r="I44" s="9"/>
      <c r="J44" s="9"/>
      <c r="K44" s="9"/>
    </row>
    <row r="45" spans="1:11" s="2" customFormat="1" x14ac:dyDescent="0.2">
      <c r="A45" s="2" t="s">
        <v>51</v>
      </c>
      <c r="B45" s="9">
        <f>2000*12</f>
        <v>24000</v>
      </c>
      <c r="C45" s="9">
        <f t="shared" si="3"/>
        <v>27080.12</v>
      </c>
      <c r="D45" s="9">
        <f>2839.68+2839.68+6091.2</f>
        <v>11770.56</v>
      </c>
      <c r="E45" s="9">
        <f>301.6+208+2000+2000</f>
        <v>4509.6000000000004</v>
      </c>
      <c r="F45" s="9">
        <f>3357/3</f>
        <v>1119</v>
      </c>
      <c r="G45" s="9"/>
      <c r="H45" s="9">
        <v>9605.9599999999991</v>
      </c>
      <c r="I45" s="9">
        <v>75</v>
      </c>
      <c r="J45" s="9"/>
    </row>
    <row r="46" spans="1:11" s="2" customFormat="1" x14ac:dyDescent="0.2">
      <c r="A46" s="2" t="s">
        <v>52</v>
      </c>
      <c r="B46" s="9">
        <v>7000</v>
      </c>
      <c r="C46" s="9">
        <f t="shared" si="3"/>
        <v>5000</v>
      </c>
      <c r="D46" s="9"/>
      <c r="E46" s="9"/>
      <c r="F46" s="9"/>
      <c r="G46" s="9"/>
      <c r="H46" s="9"/>
      <c r="I46" s="9"/>
      <c r="J46" s="9">
        <v>5000</v>
      </c>
      <c r="K46" s="9"/>
    </row>
    <row r="47" spans="1:11" s="2" customFormat="1" x14ac:dyDescent="0.2">
      <c r="A47" s="2" t="s">
        <v>53</v>
      </c>
      <c r="B47" s="9">
        <v>3000</v>
      </c>
      <c r="C47" s="9">
        <f t="shared" si="3"/>
        <v>1775</v>
      </c>
      <c r="D47" s="9"/>
      <c r="E47" s="9">
        <v>1775</v>
      </c>
      <c r="F47" s="9"/>
      <c r="G47" s="9"/>
      <c r="H47" s="9"/>
      <c r="I47" s="9"/>
      <c r="J47" s="9"/>
      <c r="K47" s="9"/>
    </row>
    <row r="48" spans="1:11" s="2" customFormat="1" x14ac:dyDescent="0.2">
      <c r="A48" s="2" t="s">
        <v>64</v>
      </c>
      <c r="B48" s="9">
        <v>131376.03</v>
      </c>
      <c r="C48" s="9">
        <f>SUM(D48:K48)</f>
        <v>131376.03</v>
      </c>
      <c r="D48" s="9"/>
      <c r="E48" s="9"/>
      <c r="F48" s="9">
        <v>131376.03</v>
      </c>
      <c r="G48" s="9"/>
      <c r="H48" s="9"/>
      <c r="I48" s="9"/>
      <c r="J48" s="9"/>
      <c r="K48" s="9"/>
    </row>
    <row r="49" spans="1:11" s="2" customFormat="1" x14ac:dyDescent="0.2">
      <c r="A49" s="2" t="s">
        <v>65</v>
      </c>
      <c r="B49" s="9">
        <v>2000</v>
      </c>
      <c r="C49" s="9">
        <f t="shared" si="3"/>
        <v>2776.8199999999997</v>
      </c>
      <c r="D49" s="9">
        <f>1076.82+1200</f>
        <v>2276.8199999999997</v>
      </c>
      <c r="E49" s="9">
        <v>500</v>
      </c>
      <c r="F49" s="9"/>
      <c r="G49" s="9"/>
      <c r="H49" s="9"/>
      <c r="I49" s="9"/>
      <c r="J49" s="9"/>
      <c r="K49" s="9"/>
    </row>
    <row r="50" spans="1:11" s="2" customFormat="1" x14ac:dyDescent="0.2">
      <c r="A50" s="2" t="s">
        <v>54</v>
      </c>
      <c r="B50" s="9">
        <v>750</v>
      </c>
      <c r="C50" s="9"/>
      <c r="D50" s="9"/>
      <c r="E50" s="9"/>
      <c r="F50" s="9"/>
      <c r="G50" s="9"/>
      <c r="H50" s="9"/>
      <c r="I50" s="9"/>
      <c r="J50" s="9"/>
      <c r="K50" s="9"/>
    </row>
    <row r="51" spans="1:11" s="2" customFormat="1" x14ac:dyDescent="0.2">
      <c r="A51" s="2" t="s">
        <v>55</v>
      </c>
      <c r="B51" s="9">
        <v>2000</v>
      </c>
      <c r="C51" s="9">
        <f>SUM(D51:K51)</f>
        <v>7894.47</v>
      </c>
      <c r="D51" s="9">
        <f>23.62+42.51+28.34</f>
        <v>94.47</v>
      </c>
      <c r="E51" s="9"/>
      <c r="F51" s="9">
        <f>1800+3000</f>
        <v>4800</v>
      </c>
      <c r="G51" s="9">
        <v>3000</v>
      </c>
      <c r="H51" s="9"/>
      <c r="I51" s="9"/>
      <c r="J51" s="9"/>
      <c r="K51" s="9"/>
    </row>
    <row r="52" spans="1:11" s="2" customFormat="1" x14ac:dyDescent="0.2">
      <c r="A52" s="2" t="s">
        <v>56</v>
      </c>
      <c r="B52" s="9">
        <f>700*12</f>
        <v>8400</v>
      </c>
      <c r="C52" s="9">
        <f>SUM(D52:K52)</f>
        <v>3365</v>
      </c>
      <c r="D52" s="9">
        <f>240+360+1365</f>
        <v>1965</v>
      </c>
      <c r="E52" s="9">
        <v>500</v>
      </c>
      <c r="F52" s="9">
        <f>(40*12)</f>
        <v>480</v>
      </c>
      <c r="G52" s="9"/>
      <c r="H52" s="9"/>
      <c r="I52" s="9">
        <v>420</v>
      </c>
      <c r="J52" s="9"/>
      <c r="K52" s="9"/>
    </row>
    <row r="53" spans="1:11" s="2" customFormat="1" x14ac:dyDescent="0.2">
      <c r="A53" s="2" t="s">
        <v>57</v>
      </c>
      <c r="B53" s="9">
        <v>1500</v>
      </c>
      <c r="C53" s="9">
        <f>SUM(D53:K53)</f>
        <v>200</v>
      </c>
      <c r="D53" s="9"/>
      <c r="E53" s="9">
        <v>200</v>
      </c>
      <c r="F53" s="9"/>
      <c r="G53" s="9"/>
      <c r="H53" s="9"/>
      <c r="I53" s="9"/>
      <c r="J53" s="9"/>
      <c r="K53" s="9"/>
    </row>
    <row r="54" spans="1:11" s="2" customFormat="1" hidden="1" x14ac:dyDescent="0.2">
      <c r="A54" s="2" t="s">
        <v>58</v>
      </c>
      <c r="B54" s="9"/>
      <c r="C54" s="9"/>
      <c r="D54" s="9"/>
      <c r="E54" s="9"/>
      <c r="F54" s="9"/>
      <c r="G54" s="9"/>
      <c r="H54" s="9"/>
      <c r="I54" s="9"/>
      <c r="J54" s="9"/>
      <c r="K54" s="9"/>
    </row>
    <row r="55" spans="1:11" s="2" customFormat="1" hidden="1" x14ac:dyDescent="0.2">
      <c r="A55" s="3" t="s">
        <v>59</v>
      </c>
      <c r="B55" s="9"/>
      <c r="C55" s="9"/>
      <c r="D55" s="9"/>
      <c r="E55" s="9"/>
      <c r="F55" s="9"/>
      <c r="G55" s="9"/>
      <c r="H55" s="9"/>
      <c r="I55" s="9"/>
      <c r="J55" s="9"/>
      <c r="K55" s="9"/>
    </row>
    <row r="56" spans="1:11" s="2" customFormat="1" hidden="1" x14ac:dyDescent="0.2">
      <c r="A56" s="2" t="s">
        <v>60</v>
      </c>
      <c r="B56" s="9"/>
      <c r="C56" s="9"/>
      <c r="D56" s="9"/>
      <c r="E56" s="9"/>
      <c r="F56" s="9"/>
      <c r="G56" s="9"/>
      <c r="H56" s="9"/>
      <c r="I56" s="9"/>
      <c r="J56" s="9"/>
      <c r="K56" s="9"/>
    </row>
    <row r="57" spans="1:11" s="2" customFormat="1" hidden="1" x14ac:dyDescent="0.2">
      <c r="A57" s="2" t="s">
        <v>60</v>
      </c>
      <c r="B57" s="9"/>
      <c r="C57" s="9"/>
      <c r="D57" s="9"/>
      <c r="E57" s="9"/>
      <c r="F57" s="9"/>
      <c r="G57" s="9"/>
      <c r="H57" s="9"/>
      <c r="I57" s="9"/>
      <c r="J57" s="9"/>
      <c r="K57" s="9"/>
    </row>
    <row r="58" spans="1:11" s="2" customFormat="1" hidden="1" x14ac:dyDescent="0.2">
      <c r="A58" s="2" t="s">
        <v>60</v>
      </c>
      <c r="B58" s="9"/>
      <c r="C58" s="9"/>
      <c r="D58" s="9"/>
      <c r="E58" s="9"/>
      <c r="F58" s="9"/>
      <c r="G58" s="9"/>
      <c r="H58" s="9"/>
      <c r="I58" s="9"/>
      <c r="J58" s="9"/>
      <c r="K58" s="9"/>
    </row>
    <row r="59" spans="1:11" s="20" customFormat="1" hidden="1" x14ac:dyDescent="0.2">
      <c r="A59" s="3" t="s">
        <v>61</v>
      </c>
      <c r="B59" s="10"/>
      <c r="C59" s="10"/>
      <c r="D59" s="10"/>
      <c r="E59" s="10"/>
      <c r="F59" s="10"/>
      <c r="G59" s="10"/>
      <c r="H59" s="10"/>
      <c r="I59" s="10"/>
      <c r="J59" s="10"/>
      <c r="K59" s="10"/>
    </row>
    <row r="60" spans="1:11" s="20" customFormat="1" hidden="1" x14ac:dyDescent="0.2">
      <c r="A60" s="5"/>
      <c r="B60" s="11"/>
      <c r="C60" s="11"/>
      <c r="D60" s="12"/>
      <c r="E60" s="12"/>
      <c r="F60" s="12"/>
      <c r="G60" s="12"/>
      <c r="H60" s="12"/>
      <c r="I60" s="12"/>
      <c r="J60" s="12"/>
      <c r="K60" s="12"/>
    </row>
    <row r="61" spans="1:11" s="20" customFormat="1" x14ac:dyDescent="0.2">
      <c r="A61" s="3" t="s">
        <v>62</v>
      </c>
      <c r="B61" s="14">
        <f>B33+B25+SUM(B35:B53)</f>
        <v>961359.30550000002</v>
      </c>
      <c r="C61" s="14">
        <f>SUM(C35:C53)+C33+C25</f>
        <v>978700.0814125</v>
      </c>
      <c r="D61" s="10">
        <f>SUM(D35:D53)+D27+SUM(D11:D24)</f>
        <v>501754.02766249998</v>
      </c>
      <c r="E61" s="10">
        <f>SUM(E35:E53)+E27+SUM(E11:E25)</f>
        <v>165270.40779999999</v>
      </c>
      <c r="F61" s="10">
        <f>SUM(F35:F53)+SUM(F27:F32)+SUM(F11:F24)</f>
        <v>204999.99899999998</v>
      </c>
      <c r="G61" s="10">
        <f>SUM(G25,G33)+SUM(G35:G53)</f>
        <v>8000</v>
      </c>
      <c r="H61" s="10">
        <f>SUM(H35:H53)+H27+SUM(H11:H24)</f>
        <v>127881.98694999999</v>
      </c>
      <c r="I61" s="10">
        <f>SUM(I35:I53)+I33+I25</f>
        <v>29858</v>
      </c>
      <c r="J61" s="10">
        <f>SUM(J33:J53)</f>
        <v>10000</v>
      </c>
      <c r="K61" s="10">
        <f>SUM(K25)</f>
        <v>15000</v>
      </c>
    </row>
    <row r="62" spans="1:11" s="20" customFormat="1" ht="21.75" customHeight="1" x14ac:dyDescent="0.2">
      <c r="A62" s="3"/>
      <c r="B62" s="11"/>
      <c r="C62" s="11"/>
      <c r="D62" s="11"/>
      <c r="E62" s="12"/>
      <c r="F62" s="12"/>
      <c r="G62" s="12"/>
      <c r="H62" s="12"/>
      <c r="I62" s="12"/>
      <c r="J62" s="12"/>
      <c r="K62" s="12"/>
    </row>
    <row r="63" spans="1:11" s="20" customFormat="1" x14ac:dyDescent="0.2">
      <c r="A63" s="6" t="s">
        <v>63</v>
      </c>
      <c r="B63" s="13"/>
      <c r="C63" s="13"/>
      <c r="D63" s="13"/>
      <c r="E63" s="13"/>
      <c r="F63" s="13"/>
      <c r="G63" s="13"/>
      <c r="H63" s="13"/>
      <c r="I63" s="13"/>
      <c r="J63" s="13"/>
      <c r="K63" s="13"/>
    </row>
  </sheetData>
  <pageMargins left="0.7" right="0.7" top="0.75" bottom="0.75" header="0.3" footer="0.3"/>
  <pageSetup scale="71" fitToHeight="0" orientation="landscape" r:id="rId1"/>
  <headerFooter>
    <oddHeader>&amp;C&amp;"-,Bold"&amp;14MIA Multi-Program Budget
2020</oddHeader>
    <oddFooter>&amp;LPrepared by A. Wannamaker&amp;R&amp;D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4507e808-bdb7-4251-a83e-8f04f7f38cf6">
      <UserInfo>
        <DisplayName>Sally Joyner</DisplayName>
        <AccountId>15</AccountId>
        <AccountType/>
      </UserInfo>
    </SharedWithUser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A3AD38A8AA1884CB92824A3F77FCC9B" ma:contentTypeVersion="12" ma:contentTypeDescription="Create a new document." ma:contentTypeScope="" ma:versionID="f9f5a7674e504f8cfafea688132d3fea">
  <xsd:schema xmlns:xsd="http://www.w3.org/2001/XMLSchema" xmlns:xs="http://www.w3.org/2001/XMLSchema" xmlns:p="http://schemas.microsoft.com/office/2006/metadata/properties" xmlns:ns2="db26c584-2a54-4b7e-98ee-0654471bacfa" xmlns:ns3="4507e808-bdb7-4251-a83e-8f04f7f38cf6" targetNamespace="http://schemas.microsoft.com/office/2006/metadata/properties" ma:root="true" ma:fieldsID="fdc43b1fb4f0b36bee0975cf6e4d51a6" ns2:_="" ns3:_="">
    <xsd:import namespace="db26c584-2a54-4b7e-98ee-0654471bacfa"/>
    <xsd:import namespace="4507e808-bdb7-4251-a83e-8f04f7f38cf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Location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26c584-2a54-4b7e-98ee-0654471bacf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2" nillable="true" ma:displayName="MediaServiceLocation" ma:internalName="MediaServiceLocation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07e808-bdb7-4251-a83e-8f04f7f38cf6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7741AEC-5469-4B96-B5C1-BB5CEF5E5E42}">
  <ds:schemaRefs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purl.org/dc/terms/"/>
    <ds:schemaRef ds:uri="http://purl.org/dc/dcmitype/"/>
    <ds:schemaRef ds:uri="http://schemas.microsoft.com/office/infopath/2007/PartnerControls"/>
    <ds:schemaRef ds:uri="4507e808-bdb7-4251-a83e-8f04f7f38cf6"/>
    <ds:schemaRef ds:uri="db26c584-2a54-4b7e-98ee-0654471bacfa"/>
  </ds:schemaRefs>
</ds:datastoreItem>
</file>

<file path=customXml/itemProps2.xml><?xml version="1.0" encoding="utf-8"?>
<ds:datastoreItem xmlns:ds="http://schemas.openxmlformats.org/officeDocument/2006/customXml" ds:itemID="{B5FDD884-90FE-4A1C-B3F8-100C3A10E51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26c584-2a54-4b7e-98ee-0654471bacfa"/>
    <ds:schemaRef ds:uri="4507e808-bdb7-4251-a83e-8f04f7f38cf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40E0A85-F695-4B6E-8EC7-F7F1BE418C3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Allison Wannamaker</dc:creator>
  <cp:keywords/>
  <dc:description/>
  <cp:lastModifiedBy>Allison Wannamaker</cp:lastModifiedBy>
  <cp:revision/>
  <dcterms:created xsi:type="dcterms:W3CDTF">2018-02-06T19:22:13Z</dcterms:created>
  <dcterms:modified xsi:type="dcterms:W3CDTF">2019-10-21T14:52:52Z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0x0101002A3AD38A8AA1884CB92824A3F77FCC9B</vt:lpwstr>
  </property>
</Properties>
</file>