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wardstars-my.sharepoint.com/personal/lakridge_starsbasketballclub_com/Documents/STARS/Donations and Fundraising/Community Trust Foundation - The Big Payback/2021/"/>
    </mc:Choice>
  </mc:AlternateContent>
  <xr:revisionPtr revIDLastSave="23" documentId="8_{7B4B795E-0E28-46DA-80F5-E12DDAB19894}" xr6:coauthVersionLast="45" xr6:coauthVersionMax="45" xr10:uidLastSave="{F7E3AF99-72AB-4D70-A98B-C677B2E57EAB}"/>
  <bookViews>
    <workbookView xWindow="20370" yWindow="-120" windowWidth="29040" windowHeight="16440" xr2:uid="{00000000-000D-0000-FFFF-FFFF00000000}"/>
  </bookViews>
  <sheets>
    <sheet name="2021 FYE Budget" sheetId="1" r:id="rId1"/>
    <sheet name="Sheet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" l="1"/>
  <c r="G20" i="1" l="1"/>
  <c r="F20" i="1"/>
  <c r="J90" i="1" l="1"/>
  <c r="I90" i="1"/>
  <c r="H90" i="1"/>
  <c r="K110" i="1" l="1"/>
  <c r="M82" i="1"/>
  <c r="L82" i="1"/>
  <c r="K82" i="1"/>
  <c r="J82" i="1"/>
  <c r="I82" i="1"/>
  <c r="H82" i="1"/>
  <c r="G82" i="1"/>
  <c r="F82" i="1"/>
  <c r="E82" i="1"/>
  <c r="C82" i="1"/>
  <c r="B82" i="1"/>
  <c r="N81" i="1"/>
  <c r="L108" i="1" l="1"/>
  <c r="K74" i="1"/>
  <c r="J74" i="1"/>
  <c r="I74" i="1"/>
  <c r="H74" i="1"/>
  <c r="G74" i="1"/>
  <c r="K73" i="1"/>
  <c r="J73" i="1"/>
  <c r="I73" i="1"/>
  <c r="H73" i="1"/>
  <c r="G70" i="1" l="1"/>
  <c r="K54" i="1"/>
  <c r="J65" i="1"/>
  <c r="M65" i="1"/>
  <c r="L65" i="1"/>
  <c r="K65" i="1"/>
  <c r="I65" i="1"/>
  <c r="H65" i="1"/>
  <c r="G65" i="1"/>
  <c r="F65" i="1"/>
  <c r="E65" i="1"/>
  <c r="M39" i="1"/>
  <c r="L39" i="1"/>
  <c r="K39" i="1"/>
  <c r="J39" i="1"/>
  <c r="I39" i="1"/>
  <c r="H39" i="1"/>
  <c r="G39" i="1"/>
  <c r="F39" i="1"/>
  <c r="E39" i="1"/>
  <c r="M37" i="1"/>
  <c r="L37" i="1"/>
  <c r="K37" i="1"/>
  <c r="J37" i="1"/>
  <c r="I37" i="1"/>
  <c r="H37" i="1"/>
  <c r="G37" i="1"/>
  <c r="F37" i="1"/>
  <c r="E37" i="1"/>
  <c r="I30" i="1"/>
  <c r="M33" i="1"/>
  <c r="L33" i="1"/>
  <c r="I32" i="1"/>
  <c r="H32" i="1"/>
  <c r="G32" i="1"/>
  <c r="F32" i="1"/>
  <c r="E32" i="1"/>
  <c r="B32" i="1"/>
  <c r="M29" i="1"/>
  <c r="L29" i="1"/>
  <c r="K29" i="1"/>
  <c r="J29" i="1"/>
  <c r="I29" i="1"/>
  <c r="H29" i="1"/>
  <c r="G29" i="1"/>
  <c r="F29" i="1"/>
  <c r="E29" i="1"/>
  <c r="I10" i="1" l="1"/>
  <c r="H10" i="1"/>
  <c r="G10" i="1"/>
  <c r="F10" i="1"/>
  <c r="E10" i="1"/>
  <c r="N70" i="1" l="1"/>
  <c r="N67" i="1"/>
  <c r="N66" i="1"/>
  <c r="N65" i="1"/>
  <c r="J99" i="1" l="1"/>
  <c r="K99" i="1"/>
  <c r="L99" i="1"/>
  <c r="M99" i="1"/>
  <c r="D101" i="1"/>
  <c r="D79" i="1" l="1"/>
  <c r="M105" i="1"/>
  <c r="L105" i="1"/>
  <c r="K105" i="1"/>
  <c r="J105" i="1"/>
  <c r="I105" i="1"/>
  <c r="H105" i="1"/>
  <c r="G105" i="1"/>
  <c r="F105" i="1"/>
  <c r="D105" i="1"/>
  <c r="C105" i="1"/>
  <c r="B105" i="1"/>
  <c r="B101" i="1"/>
  <c r="I99" i="1"/>
  <c r="H99" i="1"/>
  <c r="H101" i="1" s="1"/>
  <c r="G90" i="1"/>
  <c r="G99" i="1" s="1"/>
  <c r="G101" i="1" s="1"/>
  <c r="F90" i="1"/>
  <c r="F99" i="1" s="1"/>
  <c r="E90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G107" i="1"/>
  <c r="E107" i="1"/>
  <c r="F107" i="1"/>
  <c r="E103" i="1"/>
  <c r="E99" i="1" s="1"/>
  <c r="N103" i="1"/>
  <c r="N80" i="1"/>
  <c r="N71" i="1"/>
  <c r="B56" i="1"/>
  <c r="N56" i="1" s="1"/>
  <c r="B55" i="1"/>
  <c r="N55" i="1" s="1"/>
  <c r="C54" i="1"/>
  <c r="B54" i="1"/>
  <c r="C51" i="1"/>
  <c r="B51" i="1"/>
  <c r="N51" i="1" s="1"/>
  <c r="B49" i="1"/>
  <c r="N49" i="1" s="1"/>
  <c r="C39" i="1"/>
  <c r="B39" i="1"/>
  <c r="N39" i="1" s="1"/>
  <c r="C38" i="1"/>
  <c r="C43" i="1" s="1"/>
  <c r="B38" i="1"/>
  <c r="C37" i="1"/>
  <c r="B37" i="1"/>
  <c r="N37" i="1" s="1"/>
  <c r="B33" i="1"/>
  <c r="N33" i="1" s="1"/>
  <c r="C32" i="1"/>
  <c r="N32" i="1" s="1"/>
  <c r="C30" i="1"/>
  <c r="B30" i="1"/>
  <c r="N30" i="1"/>
  <c r="C29" i="1"/>
  <c r="B29" i="1"/>
  <c r="E26" i="1"/>
  <c r="B25" i="1"/>
  <c r="N25" i="1" s="1"/>
  <c r="C24" i="1"/>
  <c r="B24" i="1"/>
  <c r="D23" i="1"/>
  <c r="D26" i="1" s="1"/>
  <c r="C23" i="1"/>
  <c r="B23" i="1"/>
  <c r="C22" i="1"/>
  <c r="B21" i="1"/>
  <c r="N21" i="1" s="1"/>
  <c r="C20" i="1"/>
  <c r="B20" i="1"/>
  <c r="N20" i="1" s="1"/>
  <c r="C19" i="1"/>
  <c r="B19" i="1"/>
  <c r="C12" i="1"/>
  <c r="B12" i="1"/>
  <c r="N12" i="1" s="1"/>
  <c r="D11" i="1"/>
  <c r="N11" i="1" s="1"/>
  <c r="C10" i="1"/>
  <c r="N10" i="1" s="1"/>
  <c r="D9" i="1"/>
  <c r="N9" i="1" s="1"/>
  <c r="D8" i="1"/>
  <c r="C8" i="1"/>
  <c r="B8" i="1"/>
  <c r="N104" i="1"/>
  <c r="N100" i="1"/>
  <c r="N93" i="1"/>
  <c r="C101" i="1"/>
  <c r="F101" i="1"/>
  <c r="I101" i="1"/>
  <c r="J101" i="1"/>
  <c r="K101" i="1"/>
  <c r="L101" i="1"/>
  <c r="M101" i="1"/>
  <c r="N84" i="1"/>
  <c r="N95" i="1"/>
  <c r="N94" i="1"/>
  <c r="N89" i="1"/>
  <c r="N88" i="1"/>
  <c r="N87" i="1"/>
  <c r="N86" i="1"/>
  <c r="N85" i="1"/>
  <c r="C68" i="1"/>
  <c r="D68" i="1"/>
  <c r="E68" i="1"/>
  <c r="F68" i="1"/>
  <c r="G68" i="1"/>
  <c r="H68" i="1"/>
  <c r="I68" i="1"/>
  <c r="J68" i="1"/>
  <c r="K68" i="1"/>
  <c r="L68" i="1"/>
  <c r="M68" i="1"/>
  <c r="B68" i="1"/>
  <c r="B120" i="1" s="1"/>
  <c r="N64" i="1"/>
  <c r="N68" i="1" s="1"/>
  <c r="N72" i="1"/>
  <c r="N73" i="1"/>
  <c r="N74" i="1"/>
  <c r="N75" i="1"/>
  <c r="N76" i="1"/>
  <c r="N62" i="1"/>
  <c r="C96" i="1"/>
  <c r="D96" i="1"/>
  <c r="E96" i="1"/>
  <c r="F96" i="1"/>
  <c r="G96" i="1"/>
  <c r="H96" i="1"/>
  <c r="I96" i="1"/>
  <c r="J96" i="1"/>
  <c r="K96" i="1"/>
  <c r="L96" i="1"/>
  <c r="M96" i="1"/>
  <c r="B96" i="1"/>
  <c r="D57" i="1"/>
  <c r="E57" i="1"/>
  <c r="F57" i="1"/>
  <c r="G57" i="1"/>
  <c r="H57" i="1"/>
  <c r="I57" i="1"/>
  <c r="J57" i="1"/>
  <c r="K57" i="1"/>
  <c r="L57" i="1"/>
  <c r="M57" i="1"/>
  <c r="N50" i="1"/>
  <c r="N52" i="1"/>
  <c r="N53" i="1"/>
  <c r="N40" i="1"/>
  <c r="N41" i="1"/>
  <c r="N42" i="1"/>
  <c r="D43" i="1"/>
  <c r="E43" i="1"/>
  <c r="F43" i="1"/>
  <c r="G43" i="1"/>
  <c r="H43" i="1"/>
  <c r="I43" i="1"/>
  <c r="J43" i="1"/>
  <c r="K43" i="1"/>
  <c r="L43" i="1"/>
  <c r="M43" i="1"/>
  <c r="N31" i="1"/>
  <c r="M34" i="1"/>
  <c r="D34" i="1"/>
  <c r="E34" i="1"/>
  <c r="F34" i="1"/>
  <c r="G34" i="1"/>
  <c r="H34" i="1"/>
  <c r="I34" i="1"/>
  <c r="J34" i="1"/>
  <c r="K34" i="1"/>
  <c r="L34" i="1"/>
  <c r="N22" i="1"/>
  <c r="F26" i="1"/>
  <c r="G26" i="1"/>
  <c r="H26" i="1"/>
  <c r="I26" i="1"/>
  <c r="J26" i="1"/>
  <c r="K26" i="1"/>
  <c r="L26" i="1"/>
  <c r="M26" i="1"/>
  <c r="N16" i="1"/>
  <c r="E14" i="1"/>
  <c r="F14" i="1"/>
  <c r="G14" i="1"/>
  <c r="H14" i="1"/>
  <c r="I14" i="1"/>
  <c r="J14" i="1"/>
  <c r="K14" i="1"/>
  <c r="L14" i="1"/>
  <c r="M14" i="1"/>
  <c r="B99" i="4"/>
  <c r="D98" i="4"/>
  <c r="D97" i="4"/>
  <c r="C97" i="4"/>
  <c r="B97" i="4"/>
  <c r="C96" i="4"/>
  <c r="B96" i="4"/>
  <c r="D95" i="4"/>
  <c r="C94" i="4"/>
  <c r="C93" i="4"/>
  <c r="B93" i="4"/>
  <c r="D92" i="4"/>
  <c r="C92" i="4"/>
  <c r="C91" i="4"/>
  <c r="B91" i="4"/>
  <c r="D90" i="4"/>
  <c r="C90" i="4"/>
  <c r="B90" i="4"/>
  <c r="D89" i="4"/>
  <c r="C89" i="4"/>
  <c r="B89" i="4"/>
  <c r="D88" i="4"/>
  <c r="B88" i="4"/>
  <c r="D87" i="4"/>
  <c r="C87" i="4"/>
  <c r="B87" i="4"/>
  <c r="C86" i="4"/>
  <c r="C85" i="4"/>
  <c r="B85" i="4"/>
  <c r="D84" i="4"/>
  <c r="D86" i="4" s="1"/>
  <c r="C84" i="4"/>
  <c r="B84" i="4"/>
  <c r="B86" i="4" s="1"/>
  <c r="D82" i="4"/>
  <c r="C82" i="4"/>
  <c r="B82" i="4"/>
  <c r="B83" i="4" s="1"/>
  <c r="D81" i="4"/>
  <c r="D83" i="4" s="1"/>
  <c r="C81" i="4"/>
  <c r="B81" i="4"/>
  <c r="C78" i="4"/>
  <c r="B78" i="4"/>
  <c r="C77" i="4"/>
  <c r="B77" i="4"/>
  <c r="D76" i="4"/>
  <c r="C76" i="4"/>
  <c r="B76" i="4"/>
  <c r="D75" i="4"/>
  <c r="C75" i="4"/>
  <c r="C79" i="4" s="1"/>
  <c r="B75" i="4"/>
  <c r="D74" i="4"/>
  <c r="C74" i="4"/>
  <c r="B74" i="4"/>
  <c r="D73" i="4"/>
  <c r="B73" i="4"/>
  <c r="D72" i="4"/>
  <c r="C72" i="4"/>
  <c r="B72" i="4"/>
  <c r="D71" i="4"/>
  <c r="C71" i="4"/>
  <c r="B71" i="4"/>
  <c r="D70" i="4"/>
  <c r="C70" i="4"/>
  <c r="B70" i="4"/>
  <c r="C69" i="4"/>
  <c r="B69" i="4"/>
  <c r="B68" i="4"/>
  <c r="B67" i="4"/>
  <c r="D65" i="4"/>
  <c r="D67" i="4" s="1"/>
  <c r="C65" i="4"/>
  <c r="C67" i="4" s="1"/>
  <c r="B65" i="4"/>
  <c r="B63" i="4"/>
  <c r="D62" i="4"/>
  <c r="C62" i="4"/>
  <c r="B62" i="4"/>
  <c r="D61" i="4"/>
  <c r="C61" i="4"/>
  <c r="B61" i="4"/>
  <c r="C60" i="4"/>
  <c r="B60" i="4"/>
  <c r="D59" i="4"/>
  <c r="C59" i="4"/>
  <c r="B59" i="4"/>
  <c r="D58" i="4"/>
  <c r="D57" i="4"/>
  <c r="B57" i="4"/>
  <c r="B55" i="4"/>
  <c r="D54" i="4"/>
  <c r="C54" i="4"/>
  <c r="D53" i="4"/>
  <c r="C53" i="4"/>
  <c r="B53" i="4"/>
  <c r="D52" i="4"/>
  <c r="C52" i="4"/>
  <c r="B52" i="4"/>
  <c r="C51" i="4"/>
  <c r="B51" i="4"/>
  <c r="B46" i="4"/>
  <c r="B45" i="4"/>
  <c r="D44" i="4"/>
  <c r="D47" i="4" s="1"/>
  <c r="D48" i="4" s="1"/>
  <c r="C44" i="4"/>
  <c r="B44" i="4"/>
  <c r="C43" i="4"/>
  <c r="B43" i="4"/>
  <c r="B42" i="4"/>
  <c r="D38" i="4"/>
  <c r="C35" i="4"/>
  <c r="B35" i="4"/>
  <c r="C34" i="4"/>
  <c r="B34" i="4"/>
  <c r="C33" i="4"/>
  <c r="B33" i="4"/>
  <c r="D31" i="4"/>
  <c r="B30" i="4"/>
  <c r="C29" i="4"/>
  <c r="B29" i="4"/>
  <c r="C27" i="4"/>
  <c r="B27" i="4"/>
  <c r="C26" i="4"/>
  <c r="B26" i="4"/>
  <c r="B23" i="4"/>
  <c r="D22" i="4"/>
  <c r="C22" i="4"/>
  <c r="B22" i="4"/>
  <c r="D21" i="4"/>
  <c r="C21" i="4"/>
  <c r="B21" i="4"/>
  <c r="C20" i="4"/>
  <c r="B19" i="4"/>
  <c r="C18" i="4"/>
  <c r="B18" i="4"/>
  <c r="D17" i="4"/>
  <c r="C17" i="4"/>
  <c r="B17" i="4"/>
  <c r="D16" i="4"/>
  <c r="C16" i="4"/>
  <c r="B16" i="4"/>
  <c r="D15" i="4"/>
  <c r="C15" i="4"/>
  <c r="B15" i="4"/>
  <c r="C13" i="4"/>
  <c r="D12" i="4"/>
  <c r="C12" i="4"/>
  <c r="B12" i="4"/>
  <c r="D11" i="4"/>
  <c r="C10" i="4"/>
  <c r="D9" i="4"/>
  <c r="C9" i="4"/>
  <c r="D8" i="4"/>
  <c r="C8" i="4"/>
  <c r="B8" i="4"/>
  <c r="B26" i="1" l="1"/>
  <c r="C26" i="1"/>
  <c r="N105" i="1"/>
  <c r="N99" i="1"/>
  <c r="N101" i="1" s="1"/>
  <c r="N8" i="1"/>
  <c r="N23" i="1"/>
  <c r="E105" i="1"/>
  <c r="C120" i="1"/>
  <c r="E101" i="1"/>
  <c r="B43" i="1"/>
  <c r="C57" i="1"/>
  <c r="N107" i="1"/>
  <c r="N79" i="1"/>
  <c r="N82" i="1" s="1"/>
  <c r="D82" i="1"/>
  <c r="D120" i="1" s="1"/>
  <c r="B14" i="1"/>
  <c r="N19" i="1"/>
  <c r="B57" i="1"/>
  <c r="N90" i="1"/>
  <c r="M120" i="1"/>
  <c r="N29" i="1"/>
  <c r="H120" i="1"/>
  <c r="K120" i="1"/>
  <c r="I120" i="1"/>
  <c r="G120" i="1"/>
  <c r="N54" i="1"/>
  <c r="N57" i="1" s="1"/>
  <c r="N38" i="1"/>
  <c r="N43" i="1" s="1"/>
  <c r="B34" i="1"/>
  <c r="C34" i="1"/>
  <c r="N24" i="1"/>
  <c r="C14" i="1"/>
  <c r="D14" i="1"/>
  <c r="D45" i="1" s="1"/>
  <c r="D59" i="1" s="1"/>
  <c r="B14" i="4"/>
  <c r="D24" i="4"/>
  <c r="C83" i="4"/>
  <c r="B31" i="4"/>
  <c r="C14" i="4"/>
  <c r="C24" i="4"/>
  <c r="C47" i="4"/>
  <c r="C48" i="4" s="1"/>
  <c r="D14" i="4"/>
  <c r="D39" i="4" s="1"/>
  <c r="D49" i="4" s="1"/>
  <c r="B38" i="4"/>
  <c r="D79" i="4"/>
  <c r="C38" i="4"/>
  <c r="B24" i="4"/>
  <c r="C31" i="4"/>
  <c r="B47" i="4"/>
  <c r="B48" i="4" s="1"/>
  <c r="B56" i="4"/>
  <c r="B79" i="4"/>
  <c r="B39" i="4"/>
  <c r="B49" i="4" s="1"/>
  <c r="B101" i="4" s="1"/>
  <c r="B102" i="4" s="1"/>
  <c r="C56" i="4"/>
  <c r="C100" i="4" s="1"/>
  <c r="D56" i="4"/>
  <c r="F120" i="1"/>
  <c r="L120" i="1"/>
  <c r="J120" i="1"/>
  <c r="M45" i="1"/>
  <c r="M59" i="1" s="1"/>
  <c r="N14" i="1"/>
  <c r="I45" i="1"/>
  <c r="I59" i="1" s="1"/>
  <c r="L45" i="1"/>
  <c r="L59" i="1" s="1"/>
  <c r="J45" i="1"/>
  <c r="J59" i="1" s="1"/>
  <c r="K45" i="1"/>
  <c r="K59" i="1" s="1"/>
  <c r="H45" i="1"/>
  <c r="H59" i="1" s="1"/>
  <c r="G45" i="1"/>
  <c r="G59" i="1" s="1"/>
  <c r="F45" i="1"/>
  <c r="F59" i="1" s="1"/>
  <c r="E45" i="1"/>
  <c r="E59" i="1" s="1"/>
  <c r="D100" i="4"/>
  <c r="B100" i="4"/>
  <c r="B45" i="1" l="1"/>
  <c r="C45" i="1"/>
  <c r="C59" i="1" s="1"/>
  <c r="C122" i="1" s="1"/>
  <c r="E120" i="1"/>
  <c r="E122" i="1" s="1"/>
  <c r="N26" i="1"/>
  <c r="B59" i="1"/>
  <c r="B122" i="1" s="1"/>
  <c r="M122" i="1"/>
  <c r="N34" i="1"/>
  <c r="H122" i="1"/>
  <c r="I122" i="1"/>
  <c r="K122" i="1"/>
  <c r="G122" i="1"/>
  <c r="F122" i="1"/>
  <c r="L122" i="1"/>
  <c r="C39" i="4"/>
  <c r="C49" i="4" s="1"/>
  <c r="C101" i="4" s="1"/>
  <c r="C102" i="4" s="1"/>
  <c r="D101" i="4"/>
  <c r="D102" i="4" s="1"/>
  <c r="J122" i="1"/>
  <c r="D122" i="1"/>
  <c r="N96" i="1"/>
  <c r="N120" i="1" s="1"/>
  <c r="N45" i="1" l="1"/>
  <c r="N59" i="1" s="1"/>
  <c r="N1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Lance</author>
    <author>Catrice James</author>
  </authors>
  <commentList>
    <comment ref="J8" authorId="0" shapeId="0" xr:uid="{003F1B76-26AE-4D71-9BE9-5817592005E0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$8,900 of $26,000 hitting  in '20 was team refunds (BIG PAYBACK PROCEEDS SHOULD HIT IN JUNE)</t>
        </r>
      </text>
    </comment>
    <comment ref="A10" authorId="0" shapeId="0" xr:uid="{C90FBB8A-7233-45CE-9885-DBC5BDDF5A1C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NOTE:
Received $8K from MSYS on 12/18/20 (where is it?)
Received $2,500 from Dameon Key on 12/16/20 (where is it?)
Received $2,000 from Prep Hoops on 11/17/20 (where is it?)</t>
        </r>
      </text>
    </comment>
    <comment ref="C10" authorId="0" shapeId="0" xr:uid="{15E9B61E-24EB-40D4-8B25-FC2A002A4A1F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$650 - HOOPSEEN EVENT Hosted on 10/31/20
</t>
        </r>
      </text>
    </comment>
    <comment ref="H10" authorId="0" shapeId="0" xr:uid="{F01A4DA1-F9D7-42A6-BC99-9D753E02EEE3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Last amount is $5K from Clarksville Crossovers - 2 June Events (doing contract on 1/15/21); two events for $10k each</t>
        </r>
      </text>
    </comment>
    <comment ref="I10" authorId="0" shapeId="0" xr:uid="{D8F73752-76C5-45E3-BDAB-7479FDB117CF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Last amount is $5K from Clarksville Crossovers - 2 June Events (doing contract on 1/15/21); two events for $10k each</t>
        </r>
      </text>
    </comment>
    <comment ref="J10" authorId="0" shapeId="0" xr:uid="{49E8C42F-025C-4082-BDA1-C7B4A9AB6E8A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Last amount is $10K from Clarksville Crossovers - 2 June Events (doing contract on 1/15/21); two events for $10k each; $5K deposit in April and May</t>
        </r>
      </text>
    </comment>
    <comment ref="N10" authorId="0" shapeId="0" xr:uid="{DCC78B30-A1AB-470B-A624-2CC95F30148F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includes 12 events booked through lease with AVC</t>
        </r>
      </text>
    </comment>
    <comment ref="A20" authorId="0" shapeId="0" xr:uid="{2ECCC29B-E011-480D-A30F-4C1BB30F5ED8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Did all Winter Team Revenue (Team Fees) for BA Flight hit in October (did not start practicing until Nov.)</t>
        </r>
      </text>
    </comment>
    <comment ref="F20" authorId="0" shapeId="0" xr:uid="{815D5E30-DE0A-4D41-8171-78EB1AD0B4D5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2020-21 Budget: 
WILCO:  31 Teams (total revenue of $254000; 35% received in Feb.; 65% in March)
 NORTH:  9 Teams (total revenue of $55,500; 55% coming in Feb.; 45% in March)
</t>
        </r>
      </text>
    </comment>
    <comment ref="G20" authorId="0" shapeId="0" xr:uid="{E841FB09-0C33-4160-B7CC-740154520636}">
      <text>
        <r>
          <rPr>
            <b/>
            <sz val="8"/>
            <color indexed="81"/>
            <rFont val="Tahoma"/>
            <family val="2"/>
          </rPr>
          <t xml:space="preserve">Lance:
2020-21 Budget: 
WILCO:  31 Teams (total revenue of $254000; 35% received in Feb.; 65% in March)
 NORTH:  9 Teams (total revenue of $55,500; 55% coming in Feb.; 45% in March)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0" authorId="0" shapeId="0" xr:uid="{D93A0ABA-55C9-45FC-BE7E-EB47382F982B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2019 Budget: 
WILCO:  10 Summer Teams ($230 per player; $2,300 revenue per team; $23,000 total revenue) </t>
        </r>
      </text>
    </comment>
    <comment ref="N23" authorId="0" shapeId="0" xr:uid="{11BA3D76-5C3D-4C22-A465-514732543AC1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Revenue Timing:-
October: Hallow33n Hoops - 20,000
November/Dec. 12/12 Tourney: $5,600
December:  New Year's Eve Tourney - $11,000
June/July:  Stars and Stripes 3 on 3
$15,000</t>
        </r>
      </text>
    </comment>
    <comment ref="I51" authorId="0" shapeId="0" xr:uid="{BA3DBB5F-CFF1-4AEE-B86B-05ECC424594D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$$20 a kid - 100 kids (Flight League)</t>
        </r>
      </text>
    </comment>
    <comment ref="K54" authorId="0" shapeId="0" xr:uid="{D41A99B6-4976-452F-B8BD-1EDBCCFC8201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$3,000 - TSHIRTS (STARS and STRIPES 3 on 3)
$1,000 in misc. expenses
</t>
        </r>
      </text>
    </comment>
    <comment ref="L54" authorId="0" shapeId="0" xr:uid="{59C30C3F-8E97-499C-956C-73F8A9DF9A01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Officials (STARS and Stripes 3 on 3)</t>
        </r>
      </text>
    </comment>
    <comment ref="M55" authorId="0" shapeId="0" xr:uid="{8CB8E268-FE52-43B9-9012-49EF1E8C13CA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$1,600 in 2019; however, those were $7 STARS jerseys from Upward Corp. (probably won't have that deal any more; no inventory)</t>
        </r>
      </text>
    </comment>
    <comment ref="I56" authorId="0" shapeId="0" xr:uid="{51825A5D-2F09-49AA-9C98-15297FBEFC3D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MORE Membership Shirts
</t>
        </r>
      </text>
    </comment>
    <comment ref="G70" authorId="0" shapeId="0" xr:uid="{F8FCA160-68E2-4FAC-B3BF-8707FBCCF8FA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Reversal of previous 3 months interest expense
</t>
        </r>
      </text>
    </comment>
    <comment ref="J71" authorId="0" shapeId="0" xr:uid="{5996069E-3870-4F47-910D-F543AF1E5489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Dinner w/BOD and wives</t>
        </r>
      </text>
    </comment>
    <comment ref="A73" authorId="0" shapeId="0" xr:uid="{C8248A20-AB55-42EB-A7D1-37A4CD52B7D1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Hotel Nights (74 total); Coach Apparel and Reimbursements
</t>
        </r>
      </text>
    </comment>
    <comment ref="F73" authorId="0" shapeId="0" xr:uid="{85A8956E-E255-49C3-8075-123CC90FC259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Coach Polos</t>
        </r>
      </text>
    </comment>
    <comment ref="A74" authorId="0" shapeId="0" xr:uid="{9397BBA7-29DF-497B-8B84-09FCB098292C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Officials and Janitors/NON Coach Staff for Events</t>
        </r>
      </text>
    </comment>
    <comment ref="G74" authorId="0" shapeId="0" xr:uid="{838FE5DE-A766-4B60-865B-33C1FAA2A436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Renting out 3 events ($1,000 per event)</t>
        </r>
      </text>
    </comment>
    <comment ref="H74" authorId="0" shapeId="0" xr:uid="{6BB6E988-67AC-4763-9811-2597BB62BE74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renting out two events (actually 3, but one falls on April 30-May 2nd; will recognize expense in May)</t>
        </r>
      </text>
    </comment>
    <comment ref="I74" authorId="0" shapeId="0" xr:uid="{FE69A31F-59E2-495D-864E-4B37B8AB4CB0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Renting out 4 events ($1,000 per event)</t>
        </r>
      </text>
    </comment>
    <comment ref="J74" authorId="0" shapeId="0" xr:uid="{6371B155-5B64-4D83-9C80-389BBB0FFCDB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renting out two events </t>
        </r>
      </text>
    </comment>
    <comment ref="K74" authorId="0" shapeId="0" xr:uid="{9B7D026C-2523-4FC9-B459-C07DB1FBA092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Janitor/Staff for one External Tournament; Officials for STARS and STRIPES; $500 for NON Coach Staffing for STARS and STRIPES</t>
        </r>
      </text>
    </comment>
    <comment ref="E86" authorId="0" shapeId="0" xr:uid="{74478A99-5383-48CF-9948-09F118AFE012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FACEBOOK Marketing - Tryouts</t>
        </r>
      </text>
    </comment>
    <comment ref="F86" authorId="0" shapeId="0" xr:uid="{44526C5F-AD89-4798-B231-6E235F92DBF6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5 x 5</t>
        </r>
      </text>
    </comment>
    <comment ref="G86" authorId="0" shapeId="0" xr:uid="{214D3EEB-528D-4CFF-BF53-9E0F9BEE7EC7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5 x 5</t>
        </r>
      </text>
    </comment>
    <comment ref="H86" authorId="0" shapeId="0" xr:uid="{283E6F51-E974-4E28-B1CD-D49445572CD2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5 x 5</t>
        </r>
      </text>
    </comment>
    <comment ref="J90" authorId="0" shapeId="0" xr:uid="{297C070C-B280-4B6D-9EFC-9BE4625DDABF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includes anctipcated bonus of $8,000 on Dev. Programming for Ted</t>
        </r>
      </text>
    </comment>
    <comment ref="E103" authorId="1" shapeId="0" xr:uid="{B972BD4C-91A5-4FBD-874D-BE1A3E125E54}">
      <text>
        <r>
          <rPr>
            <b/>
            <sz val="9"/>
            <color indexed="81"/>
            <rFont val="Tahoma"/>
            <family val="2"/>
          </rPr>
          <t>Catrice James:</t>
        </r>
        <r>
          <rPr>
            <sz val="9"/>
            <color indexed="81"/>
            <rFont val="Tahoma"/>
            <family val="2"/>
          </rPr>
          <t xml:space="preserve">
10K Bonus</t>
        </r>
      </text>
    </comment>
    <comment ref="E107" authorId="1" shapeId="0" xr:uid="{89B44B89-DA78-4580-9A83-93E581B29399}">
      <text>
        <r>
          <rPr>
            <b/>
            <sz val="9"/>
            <color indexed="81"/>
            <rFont val="Tahoma"/>
            <family val="2"/>
          </rPr>
          <t xml:space="preserve">Catrice James:
</t>
        </r>
        <r>
          <rPr>
            <sz val="9"/>
            <color indexed="81"/>
            <rFont val="Tahoma"/>
            <family val="2"/>
          </rPr>
          <t>Bookkeeping/Payroll Services $625
Budget/Workers Comp Audit Work/Addditional Reporting PPP - $400
W-2s, 1099s, TN SUTA/941 - $350</t>
        </r>
      </text>
    </comment>
    <comment ref="F107" authorId="1" shapeId="0" xr:uid="{E3C7B23E-1BEC-4C5C-8260-9364F7AD3A33}">
      <text>
        <r>
          <rPr>
            <b/>
            <sz val="9"/>
            <color indexed="81"/>
            <rFont val="Tahoma"/>
            <family val="2"/>
          </rPr>
          <t xml:space="preserve">Catrice James:
</t>
        </r>
        <r>
          <rPr>
            <sz val="9"/>
            <color indexed="81"/>
            <rFont val="Tahoma"/>
            <family val="2"/>
          </rPr>
          <t>Bookkeeping/Payroll Services $625
SERG Reporting $1,500 (10 hours Dec &amp; Jan)</t>
        </r>
      </text>
    </comment>
    <comment ref="G107" authorId="1" shapeId="0" xr:uid="{72465BE2-ACB3-4C7B-AFC0-878E96B80835}">
      <text>
        <r>
          <rPr>
            <b/>
            <sz val="9"/>
            <color indexed="81"/>
            <rFont val="Tahoma"/>
            <family val="2"/>
          </rPr>
          <t xml:space="preserve">Catrice James:
</t>
        </r>
        <r>
          <rPr>
            <sz val="9"/>
            <color indexed="81"/>
            <rFont val="Tahoma"/>
            <family val="2"/>
          </rPr>
          <t>Bookkeeping/Payroll Services $625
Audit: $2,500
990/Charitable Soliticiation: $1,050</t>
        </r>
      </text>
    </comment>
    <comment ref="A108" authorId="0" shapeId="0" xr:uid="{62423E75-E07D-40D4-B2DD-E6812E7759F0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Sending $20 gift cards to coaches on their bdays</t>
        </r>
      </text>
    </comment>
    <comment ref="L108" authorId="0" shapeId="0" xr:uid="{FEA1A430-AB97-4C01-ADCF-40E1953B279E}">
      <text>
        <r>
          <rPr>
            <b/>
            <sz val="8"/>
            <color indexed="81"/>
            <rFont val="Tahoma"/>
            <family val="2"/>
          </rPr>
          <t>Lance:</t>
        </r>
        <r>
          <rPr>
            <sz val="8"/>
            <color indexed="81"/>
            <rFont val="Tahoma"/>
            <family val="2"/>
          </rPr>
          <t xml:space="preserve">
Coach Meeting with Food</t>
        </r>
      </text>
    </comment>
  </commentList>
</comments>
</file>

<file path=xl/sharedStrings.xml><?xml version="1.0" encoding="utf-8"?>
<sst xmlns="http://schemas.openxmlformats.org/spreadsheetml/2006/main" count="240" uniqueCount="127">
  <si>
    <t>Income</t>
  </si>
  <si>
    <t xml:space="preserve">   40500 Other Income</t>
  </si>
  <si>
    <t xml:space="preserve">      40500 A Other Income - Donations</t>
  </si>
  <si>
    <t xml:space="preserve">      40500 C Other Income - Facility Rentals</t>
  </si>
  <si>
    <t xml:space="preserve">      40500 E Other Income - Fundraising</t>
  </si>
  <si>
    <t xml:space="preserve">   Total 40500 Other Income</t>
  </si>
  <si>
    <t xml:space="preserve">   40600 Interest Earned</t>
  </si>
  <si>
    <t xml:space="preserve">   43400 Revenue</t>
  </si>
  <si>
    <t xml:space="preserve">      43420 Developmental</t>
  </si>
  <si>
    <t xml:space="preserve">      43430 Travel Teams</t>
  </si>
  <si>
    <t xml:space="preserve">      43440 Tryouts</t>
  </si>
  <si>
    <t xml:space="preserve">      43460 Merchandise</t>
  </si>
  <si>
    <t xml:space="preserve">      43470 Tournament Host</t>
  </si>
  <si>
    <t xml:space="preserve">   Total 43400 Revenue</t>
  </si>
  <si>
    <t xml:space="preserve">   44000 Sales Discounts</t>
  </si>
  <si>
    <t xml:space="preserve">      44120 Developmental</t>
  </si>
  <si>
    <t xml:space="preserve">      44130 Travel Teams</t>
  </si>
  <si>
    <t xml:space="preserve">      44140 Tryouts</t>
  </si>
  <si>
    <t xml:space="preserve">   Total 44000 Sales Discounts</t>
  </si>
  <si>
    <t>Total Income</t>
  </si>
  <si>
    <t>Cost of Goods Sold</t>
  </si>
  <si>
    <t xml:space="preserve">   50000 Cost of Goods Sold</t>
  </si>
  <si>
    <t xml:space="preserve">      50001 Camps/Clinics</t>
  </si>
  <si>
    <t xml:space="preserve">      50002 Developmental</t>
  </si>
  <si>
    <t xml:space="preserve">      50003 Travel Teams</t>
  </si>
  <si>
    <t xml:space="preserve">      50004 Tryouts</t>
  </si>
  <si>
    <t xml:space="preserve">      50006 Merchandise</t>
  </si>
  <si>
    <t xml:space="preserve">   Total 50000 Cost of Goods Sold</t>
  </si>
  <si>
    <t>Total Cost of Goods Sold</t>
  </si>
  <si>
    <t>Gross Profit</t>
  </si>
  <si>
    <t>Expenses</t>
  </si>
  <si>
    <t xml:space="preserve">   60002 Bad Debt</t>
  </si>
  <si>
    <t xml:space="preserve">   60004 Bank Charges</t>
  </si>
  <si>
    <t xml:space="preserve">   60005 Interest Expense</t>
  </si>
  <si>
    <t xml:space="preserve">   60006 Board Appreciation</t>
  </si>
  <si>
    <t xml:space="preserve">   60009 Background Checks</t>
  </si>
  <si>
    <t xml:space="preserve">   60010 Coach Expense</t>
  </si>
  <si>
    <t xml:space="preserve">   60011 Contract Labor</t>
  </si>
  <si>
    <t xml:space="preserve">   60014 Equipment</t>
  </si>
  <si>
    <t xml:space="preserve">   60015 Facility Rentals</t>
  </si>
  <si>
    <t xml:space="preserve">      60015 A Facility Rentals - WILCO Facility Rentals</t>
  </si>
  <si>
    <t xml:space="preserve">      60015 B Facility Rentals - North Facility Rentals</t>
  </si>
  <si>
    <t xml:space="preserve">   Total 60015 Facility Rentals</t>
  </si>
  <si>
    <t xml:space="preserve">   60020 Licenses and Taxes</t>
  </si>
  <si>
    <t xml:space="preserve">   60021 Marketing</t>
  </si>
  <si>
    <t xml:space="preserve">   60022 Meetings</t>
  </si>
  <si>
    <t xml:space="preserve">   60023 Subscriptions</t>
  </si>
  <si>
    <t xml:space="preserve">   60024 Ministry</t>
  </si>
  <si>
    <t xml:space="preserve">   60026 Employee Payroll</t>
  </si>
  <si>
    <t xml:space="preserve">   60027 Benefits &amp; Related - President</t>
  </si>
  <si>
    <t xml:space="preserve">      60027 A Insurance Package - Medical/Dental/Vision</t>
  </si>
  <si>
    <t xml:space="preserve">      60027 B Internet</t>
  </si>
  <si>
    <t xml:space="preserve">      60027 C Mobile Phone</t>
  </si>
  <si>
    <t xml:space="preserve">   Total 60027 Benefits &amp; Related - President</t>
  </si>
  <si>
    <t xml:space="preserve">   60028 Payroll Taxes</t>
  </si>
  <si>
    <t xml:space="preserve">      60028 A FICA</t>
  </si>
  <si>
    <t xml:space="preserve">      60028 B SUTA</t>
  </si>
  <si>
    <t xml:space="preserve">   Total 60028 Payroll Taxes</t>
  </si>
  <si>
    <t xml:space="preserve">   60029 Salaries - President</t>
  </si>
  <si>
    <t xml:space="preserve">      60029 A President - Court Time Pay</t>
  </si>
  <si>
    <t xml:space="preserve">   Total 60029 Salaries - President</t>
  </si>
  <si>
    <t xml:space="preserve">   60030 Professional Fees-Accounting</t>
  </si>
  <si>
    <t xml:space="preserve">   60031 Coach Appreciation</t>
  </si>
  <si>
    <t xml:space="preserve">   60033 Supplies</t>
  </si>
  <si>
    <t xml:space="preserve">   60036 Travel Expense</t>
  </si>
  <si>
    <t xml:space="preserve">   60038 Insurance</t>
  </si>
  <si>
    <t xml:space="preserve">   60039 STACK Admin Fee</t>
  </si>
  <si>
    <t xml:space="preserve">   60040 STACK Credit Card Fee</t>
  </si>
  <si>
    <t xml:space="preserve">   60041 Tournament Entry Expense</t>
  </si>
  <si>
    <t xml:space="preserve">   60043 Shipping and Handling</t>
  </si>
  <si>
    <t xml:space="preserve">   60044 League Entry Expense</t>
  </si>
  <si>
    <t xml:space="preserve">   60046 Payroll Admin Fees</t>
  </si>
  <si>
    <t xml:space="preserve">   60048 STACK Payment Plan Fees</t>
  </si>
  <si>
    <t>Total Expenses</t>
  </si>
  <si>
    <t>Net Operating Income</t>
  </si>
  <si>
    <t>Net Income</t>
  </si>
  <si>
    <t>Nashville Youth Sports Club, Inc.</t>
  </si>
  <si>
    <t xml:space="preserve">      43480 Shooting Lab</t>
  </si>
  <si>
    <t xml:space="preserve">   45000 Refunds</t>
  </si>
  <si>
    <t xml:space="preserve">      45130 Travel Teams</t>
  </si>
  <si>
    <t xml:space="preserve">   Total 45000 Refunds</t>
  </si>
  <si>
    <t xml:space="preserve">      45120 Developmental</t>
  </si>
  <si>
    <t xml:space="preserve">      44180 Shooting Lab</t>
  </si>
  <si>
    <t xml:space="preserve">      40500 F Other Income - Court Time Rental</t>
  </si>
  <si>
    <t xml:space="preserve">   60012 Depreciation</t>
  </si>
  <si>
    <t xml:space="preserve">      40500 G Other Income - Programming</t>
  </si>
  <si>
    <t xml:space="preserve">      43490 Internal Leagues</t>
  </si>
  <si>
    <t xml:space="preserve">      44190 Internal Leagues</t>
  </si>
  <si>
    <t xml:space="preserve">      45180 Shooting Lab</t>
  </si>
  <si>
    <t xml:space="preserve">      45440 Tryouts</t>
  </si>
  <si>
    <t xml:space="preserve">      45490 Internal Leagues</t>
  </si>
  <si>
    <t xml:space="preserve">      50007 Tournament Host</t>
  </si>
  <si>
    <t xml:space="preserve">      50008 Internal Leagues</t>
  </si>
  <si>
    <t xml:space="preserve">      50009 Shooting Lab</t>
  </si>
  <si>
    <t xml:space="preserve">   60017 Workers' Comp Insurance</t>
  </si>
  <si>
    <t xml:space="preserve">   60051 Charitable Contributions</t>
  </si>
  <si>
    <t>October 2020</t>
  </si>
  <si>
    <t>November 2020</t>
  </si>
  <si>
    <t>December 2020</t>
  </si>
  <si>
    <t>January 2021</t>
  </si>
  <si>
    <t>September 2021</t>
  </si>
  <si>
    <t>August 2021</t>
  </si>
  <si>
    <t>February 2021</t>
  </si>
  <si>
    <t>March 2021</t>
  </si>
  <si>
    <t>April 2021</t>
  </si>
  <si>
    <t>May 2021</t>
  </si>
  <si>
    <t>June 2021</t>
  </si>
  <si>
    <t>July 2021</t>
  </si>
  <si>
    <t xml:space="preserve">      40500 B Other Income - Sponsorship Income</t>
  </si>
  <si>
    <t xml:space="preserve">      60004 A PayPal Fees</t>
  </si>
  <si>
    <t xml:space="preserve">      60004 B QuickBooks Payments Fees</t>
  </si>
  <si>
    <t xml:space="preserve">      60004 C Loan Fees</t>
  </si>
  <si>
    <t xml:space="preserve">   Total 60004 Bank Charges</t>
  </si>
  <si>
    <t>Profit and Loss by Month</t>
  </si>
  <si>
    <t>September - December, 2020</t>
  </si>
  <si>
    <t>Oct 2020</t>
  </si>
  <si>
    <t>Nov 2020</t>
  </si>
  <si>
    <t>Dec 2020</t>
  </si>
  <si>
    <t>Thursday, Jan 07, 2021 11:27:48 PM GMT-8 - Accrual Basis</t>
  </si>
  <si>
    <t>October 2020 - September 2021</t>
  </si>
  <si>
    <t xml:space="preserve"> FYE 2021 Budget</t>
  </si>
  <si>
    <t xml:space="preserve">      45500 Facility Rentals</t>
  </si>
  <si>
    <t xml:space="preserve"> </t>
  </si>
  <si>
    <t xml:space="preserve">      60015 A Facility Rentals - Facility Rentals - TOA</t>
  </si>
  <si>
    <t xml:space="preserve">       60015 C Facility Rentals - WILCO Facility Rentals</t>
  </si>
  <si>
    <t>Nashville Youth Sports Club, Inc. (Assumed Name:  STARS Basketball Club)</t>
  </si>
  <si>
    <t xml:space="preserve">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</si>
</sst>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\ _€"/>
    <numFmt numFmtId="165" formatCode="&quot;$&quot;* #,##0.00\ _€"/>
  </numFmts>
  <fonts count="3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45">
    <xf numFmtId="0" fontId="0" fillId="0" borderId="0"/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6" applyNumberFormat="0" applyAlignment="0" applyProtection="0"/>
    <xf numFmtId="0" fontId="19" fillId="6" borderId="7" applyNumberFormat="0" applyAlignment="0" applyProtection="0"/>
    <xf numFmtId="0" fontId="20" fillId="6" borderId="6" applyNumberFormat="0" applyAlignment="0" applyProtection="0"/>
    <xf numFmtId="0" fontId="21" fillId="0" borderId="8" applyNumberFormat="0" applyFill="0" applyAlignment="0" applyProtection="0"/>
    <xf numFmtId="0" fontId="22" fillId="7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horizontal="left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165" fontId="3" fillId="0" borderId="2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0" fillId="34" borderId="0" xfId="0" applyFont="1" applyFill="1" applyAlignment="1">
      <alignment horizontal="left"/>
    </xf>
    <xf numFmtId="0" fontId="27" fillId="0" borderId="0" xfId="0" applyFont="1" applyFill="1" applyAlignment="1"/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10" fillId="0" borderId="1" xfId="0" applyNumberFormat="1" applyFont="1" applyFill="1" applyBorder="1" applyAlignment="1">
      <alignment horizontal="center"/>
    </xf>
    <xf numFmtId="43" fontId="29" fillId="0" borderId="0" xfId="1" applyFont="1" applyFill="1" applyAlignment="1"/>
    <xf numFmtId="43" fontId="29" fillId="0" borderId="15" xfId="1" applyFont="1" applyFill="1" applyBorder="1" applyAlignment="1"/>
    <xf numFmtId="43" fontId="27" fillId="0" borderId="0" xfId="0" applyNumberFormat="1" applyFont="1" applyFill="1" applyAlignment="1"/>
    <xf numFmtId="0" fontId="10" fillId="0" borderId="1" xfId="0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0" fontId="8" fillId="35" borderId="0" xfId="0" applyFont="1" applyFill="1" applyAlignment="1">
      <alignment horizontal="left"/>
    </xf>
    <xf numFmtId="0" fontId="8" fillId="36" borderId="0" xfId="0" applyFont="1" applyFill="1" applyAlignment="1">
      <alignment horizontal="left"/>
    </xf>
    <xf numFmtId="43" fontId="29" fillId="36" borderId="0" xfId="1" applyFont="1" applyFill="1" applyAlignment="1"/>
    <xf numFmtId="0" fontId="30" fillId="37" borderId="0" xfId="0" applyFont="1" applyFill="1" applyAlignment="1">
      <alignment horizontal="left"/>
    </xf>
    <xf numFmtId="0" fontId="30" fillId="37" borderId="0" xfId="0" applyFont="1" applyFill="1" applyBorder="1" applyAlignment="1">
      <alignment horizontal="left"/>
    </xf>
    <xf numFmtId="0" fontId="30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43" fontId="29" fillId="36" borderId="0" xfId="1" applyFont="1" applyFill="1" applyAlignment="1">
      <alignment horizontal="right"/>
    </xf>
    <xf numFmtId="43" fontId="29" fillId="33" borderId="0" xfId="1" applyFont="1" applyFill="1" applyAlignment="1"/>
    <xf numFmtId="43" fontId="29" fillId="0" borderId="0" xfId="1" applyFont="1" applyFill="1" applyBorder="1" applyAlignment="1">
      <alignment horizontal="right"/>
    </xf>
    <xf numFmtId="43" fontId="8" fillId="0" borderId="15" xfId="1" applyFont="1" applyFill="1" applyBorder="1" applyAlignment="1">
      <alignment horizontal="right"/>
    </xf>
    <xf numFmtId="164" fontId="28" fillId="33" borderId="0" xfId="0" applyNumberFormat="1" applyFont="1" applyFill="1" applyAlignment="1">
      <alignment horizontal="right"/>
    </xf>
    <xf numFmtId="43" fontId="29" fillId="0" borderId="15" xfId="1" applyFont="1" applyFill="1" applyBorder="1" applyAlignment="1">
      <alignment horizontal="right"/>
    </xf>
    <xf numFmtId="43" fontId="8" fillId="0" borderId="0" xfId="1" applyFont="1" applyFill="1" applyBorder="1" applyAlignment="1">
      <alignment horizontal="right"/>
    </xf>
    <xf numFmtId="43" fontId="29" fillId="0" borderId="0" xfId="1" applyFont="1" applyFill="1" applyAlignment="1">
      <alignment horizontal="right"/>
    </xf>
    <xf numFmtId="43" fontId="10" fillId="34" borderId="13" xfId="1" applyFont="1" applyFill="1" applyBorder="1" applyAlignment="1">
      <alignment horizontal="right"/>
    </xf>
    <xf numFmtId="43" fontId="10" fillId="34" borderId="0" xfId="1" applyFont="1" applyFill="1" applyBorder="1" applyAlignment="1">
      <alignment horizontal="right"/>
    </xf>
    <xf numFmtId="43" fontId="10" fillId="34" borderId="2" xfId="1" applyFont="1" applyFill="1" applyBorder="1" applyAlignment="1">
      <alignment horizontal="right"/>
    </xf>
    <xf numFmtId="43" fontId="29" fillId="33" borderId="0" xfId="1" applyFont="1" applyFill="1" applyAlignment="1">
      <alignment horizontal="right"/>
    </xf>
    <xf numFmtId="43" fontId="10" fillId="34" borderId="15" xfId="1" applyFont="1" applyFill="1" applyBorder="1" applyAlignment="1">
      <alignment horizontal="right"/>
    </xf>
    <xf numFmtId="43" fontId="28" fillId="33" borderId="0" xfId="1" applyFont="1" applyFill="1" applyAlignment="1"/>
    <xf numFmtId="43" fontId="29" fillId="33" borderId="0" xfId="1" applyFont="1" applyFill="1" applyBorder="1" applyAlignment="1"/>
    <xf numFmtId="43" fontId="10" fillId="34" borderId="0" xfId="1" applyFont="1" applyFill="1" applyAlignment="1">
      <alignment horizontal="right"/>
    </xf>
    <xf numFmtId="164" fontId="28" fillId="33" borderId="0" xfId="0" applyNumberFormat="1" applyFont="1" applyFill="1" applyAlignment="1"/>
    <xf numFmtId="43" fontId="29" fillId="33" borderId="15" xfId="1" applyFont="1" applyFill="1" applyBorder="1" applyAlignment="1"/>
    <xf numFmtId="43" fontId="28" fillId="33" borderId="0" xfId="1" applyFont="1" applyFill="1" applyAlignment="1">
      <alignment horizontal="right"/>
    </xf>
    <xf numFmtId="43" fontId="8" fillId="0" borderId="2" xfId="1" applyFont="1" applyFill="1" applyBorder="1" applyAlignment="1">
      <alignment horizontal="right"/>
    </xf>
    <xf numFmtId="43" fontId="8" fillId="0" borderId="13" xfId="1" applyFont="1" applyFill="1" applyBorder="1" applyAlignment="1">
      <alignment horizontal="right"/>
    </xf>
    <xf numFmtId="43" fontId="30" fillId="37" borderId="12" xfId="1" applyFont="1" applyFill="1" applyBorder="1" applyAlignment="1">
      <alignment horizontal="right"/>
    </xf>
    <xf numFmtId="43" fontId="30" fillId="37" borderId="14" xfId="1" applyFont="1" applyFill="1" applyBorder="1" applyAlignment="1">
      <alignment horizontal="right"/>
    </xf>
    <xf numFmtId="43" fontId="10" fillId="34" borderId="14" xfId="1" applyFont="1" applyFill="1" applyBorder="1" applyAlignment="1">
      <alignment horizontal="right"/>
    </xf>
    <xf numFmtId="43" fontId="8" fillId="36" borderId="2" xfId="1" applyFont="1" applyFill="1" applyBorder="1" applyAlignment="1">
      <alignment horizontal="right"/>
    </xf>
    <xf numFmtId="43" fontId="29" fillId="35" borderId="0" xfId="1" applyFont="1" applyFill="1" applyAlignment="1"/>
    <xf numFmtId="43" fontId="29" fillId="35" borderId="0" xfId="1" applyFont="1" applyFill="1" applyAlignment="1">
      <alignment horizontal="right"/>
    </xf>
    <xf numFmtId="43" fontId="8" fillId="35" borderId="2" xfId="1" applyFont="1" applyFill="1" applyBorder="1" applyAlignment="1">
      <alignment horizontal="right"/>
    </xf>
    <xf numFmtId="43" fontId="30" fillId="37" borderId="2" xfId="1" applyFont="1" applyFill="1" applyBorder="1" applyAlignment="1">
      <alignment horizontal="right"/>
    </xf>
    <xf numFmtId="43" fontId="30" fillId="37" borderId="13" xfId="1" applyFont="1" applyFill="1" applyBorder="1" applyAlignment="1">
      <alignment horizontal="right"/>
    </xf>
    <xf numFmtId="0" fontId="27" fillId="0" borderId="0" xfId="0" applyFont="1" applyFill="1" applyAlignment="1"/>
    <xf numFmtId="43" fontId="29" fillId="0" borderId="0" xfId="1" applyFont="1" applyFill="1" applyBorder="1" applyAlignment="1"/>
    <xf numFmtId="0" fontId="2" fillId="35" borderId="0" xfId="0" applyFont="1" applyFill="1" applyAlignment="1">
      <alignment horizontal="left"/>
    </xf>
    <xf numFmtId="43" fontId="28" fillId="0" borderId="0" xfId="1" applyFont="1" applyFill="1" applyAlignment="1"/>
    <xf numFmtId="0" fontId="2" fillId="36" borderId="0" xfId="0" applyFont="1" applyFill="1" applyAlignment="1">
      <alignment horizontal="left"/>
    </xf>
    <xf numFmtId="0" fontId="27" fillId="0" borderId="0" xfId="0" applyFont="1" applyFill="1" applyAlignment="1"/>
    <xf numFmtId="0" fontId="33" fillId="0" borderId="0" xfId="0" applyFont="1" applyFill="1" applyAlignment="1">
      <alignment horizontal="center"/>
    </xf>
    <xf numFmtId="0" fontId="34" fillId="0" borderId="0" xfId="0" applyFont="1" applyFill="1" applyAlignment="1"/>
    <xf numFmtId="0" fontId="5" fillId="0" borderId="0" xfId="0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4" xr:uid="{E93A4C14-2A56-4DB8-990D-ECF4C55104F8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4E588B5A-6EB0-4277-82C7-C3A569538BEB}"/>
    <cellStyle name="Note 2" xfId="43" xr:uid="{BCDAB89F-12C5-4D53-9477-6362733BC21A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7"/>
  <sheetViews>
    <sheetView tabSelected="1" zoomScale="80" zoomScaleNormal="80" workbookViewId="0">
      <pane xSplit="1" ySplit="5" topLeftCell="B99" activePane="bottomRight" state="frozen"/>
      <selection pane="topRight" activeCell="B1" sqref="B1"/>
      <selection pane="bottomLeft" activeCell="A7" sqref="A7"/>
      <selection pane="bottomRight" activeCell="F80" sqref="F80"/>
    </sheetView>
  </sheetViews>
  <sheetFormatPr defaultColWidth="9.140625" defaultRowHeight="14.25" x14ac:dyDescent="0.2"/>
  <cols>
    <col min="1" max="1" width="46.28515625" style="9" bestFit="1" customWidth="1"/>
    <col min="2" max="2" width="14.28515625" style="9" bestFit="1" customWidth="1"/>
    <col min="3" max="4" width="15" style="9" bestFit="1" customWidth="1"/>
    <col min="5" max="5" width="13.7109375" style="9" bestFit="1" customWidth="1"/>
    <col min="6" max="7" width="14.28515625" style="9" bestFit="1" customWidth="1"/>
    <col min="8" max="9" width="13.7109375" style="9" bestFit="1" customWidth="1"/>
    <col min="10" max="10" width="12.85546875" style="9" bestFit="1" customWidth="1"/>
    <col min="11" max="11" width="13.7109375" style="9" bestFit="1" customWidth="1"/>
    <col min="12" max="12" width="12.85546875" style="9" bestFit="1" customWidth="1"/>
    <col min="13" max="13" width="15.7109375" style="9" bestFit="1" customWidth="1"/>
    <col min="14" max="14" width="16.7109375" style="9" bestFit="1" customWidth="1"/>
    <col min="15" max="16384" width="9.140625" style="9"/>
  </cols>
  <sheetData>
    <row r="1" spans="1:14" ht="18" x14ac:dyDescent="0.25">
      <c r="A1" s="70" t="s">
        <v>125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8" x14ac:dyDescent="0.25">
      <c r="A2" s="70" t="s">
        <v>126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9.5" x14ac:dyDescent="0.3">
      <c r="A3" s="64" t="s">
        <v>119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x14ac:dyDescent="0.2">
      <c r="E4" s="58"/>
      <c r="F4" s="58" t="s">
        <v>122</v>
      </c>
      <c r="G4" s="58" t="s">
        <v>122</v>
      </c>
      <c r="H4" s="58" t="s">
        <v>122</v>
      </c>
      <c r="I4" s="58" t="s">
        <v>122</v>
      </c>
      <c r="J4" s="58"/>
      <c r="K4" s="58" t="s">
        <v>122</v>
      </c>
      <c r="L4" s="58" t="s">
        <v>122</v>
      </c>
      <c r="M4" s="58" t="s">
        <v>122</v>
      </c>
    </row>
    <row r="5" spans="1:14" x14ac:dyDescent="0.2">
      <c r="B5" s="14" t="s">
        <v>96</v>
      </c>
      <c r="C5" s="14" t="s">
        <v>97</v>
      </c>
      <c r="D5" s="14" t="s">
        <v>98</v>
      </c>
      <c r="E5" s="14" t="s">
        <v>99</v>
      </c>
      <c r="F5" s="14" t="s">
        <v>102</v>
      </c>
      <c r="G5" s="14" t="s">
        <v>103</v>
      </c>
      <c r="H5" s="14" t="s">
        <v>104</v>
      </c>
      <c r="I5" s="14" t="s">
        <v>105</v>
      </c>
      <c r="J5" s="14" t="s">
        <v>106</v>
      </c>
      <c r="K5" s="14" t="s">
        <v>107</v>
      </c>
      <c r="L5" s="14" t="s">
        <v>101</v>
      </c>
      <c r="M5" s="19" t="s">
        <v>100</v>
      </c>
      <c r="N5" s="18" t="s">
        <v>120</v>
      </c>
    </row>
    <row r="6" spans="1:14" ht="15.75" x14ac:dyDescent="0.25">
      <c r="A6" s="25" t="s">
        <v>0</v>
      </c>
      <c r="B6" s="29"/>
      <c r="C6" s="29"/>
      <c r="D6" s="29"/>
      <c r="E6" s="15"/>
      <c r="F6" s="15"/>
      <c r="G6" s="15"/>
      <c r="H6" s="15"/>
      <c r="I6" s="15"/>
      <c r="J6" s="15"/>
      <c r="K6" s="15"/>
      <c r="L6" s="15"/>
      <c r="M6" s="16"/>
      <c r="N6" s="59"/>
    </row>
    <row r="7" spans="1:14" ht="26.25" customHeight="1" x14ac:dyDescent="0.2">
      <c r="A7" s="26" t="s">
        <v>1</v>
      </c>
      <c r="B7" s="29"/>
      <c r="C7" s="29"/>
      <c r="D7" s="29"/>
      <c r="E7" s="15"/>
      <c r="F7" s="15"/>
      <c r="G7" s="15"/>
      <c r="H7" s="15"/>
      <c r="I7" s="15"/>
      <c r="J7" s="35"/>
      <c r="K7" s="35"/>
      <c r="L7" s="15"/>
      <c r="M7" s="33"/>
      <c r="N7" s="30"/>
    </row>
    <row r="8" spans="1:14" x14ac:dyDescent="0.2">
      <c r="A8" s="27" t="s">
        <v>2</v>
      </c>
      <c r="B8" s="32">
        <f>910</f>
        <v>910</v>
      </c>
      <c r="C8" s="32">
        <f>3195</f>
        <v>3195</v>
      </c>
      <c r="D8" s="32">
        <f>51821</f>
        <v>51821</v>
      </c>
      <c r="E8" s="35">
        <v>2100</v>
      </c>
      <c r="F8" s="35">
        <v>410</v>
      </c>
      <c r="G8" s="35">
        <v>410</v>
      </c>
      <c r="H8" s="35">
        <v>410</v>
      </c>
      <c r="I8" s="35">
        <v>410</v>
      </c>
      <c r="J8" s="35">
        <v>15000</v>
      </c>
      <c r="K8" s="35">
        <v>410</v>
      </c>
      <c r="L8" s="35">
        <v>510</v>
      </c>
      <c r="M8" s="33">
        <v>414</v>
      </c>
      <c r="N8" s="30">
        <f t="shared" ref="N8:N13" si="0">SUM(B8:M8)</f>
        <v>76000</v>
      </c>
    </row>
    <row r="9" spans="1:14" x14ac:dyDescent="0.2">
      <c r="A9" s="27" t="s">
        <v>108</v>
      </c>
      <c r="B9" s="44"/>
      <c r="C9" s="32"/>
      <c r="D9" s="32">
        <f>3000</f>
        <v>3000</v>
      </c>
      <c r="E9" s="35">
        <v>0</v>
      </c>
      <c r="F9" s="35">
        <v>0</v>
      </c>
      <c r="G9" s="35">
        <v>500</v>
      </c>
      <c r="H9" s="35">
        <v>500</v>
      </c>
      <c r="I9" s="35">
        <v>500</v>
      </c>
      <c r="J9" s="35">
        <v>500</v>
      </c>
      <c r="K9" s="35">
        <v>500</v>
      </c>
      <c r="L9" s="35">
        <v>500</v>
      </c>
      <c r="M9" s="35">
        <v>500</v>
      </c>
      <c r="N9" s="30">
        <f t="shared" si="0"/>
        <v>6500</v>
      </c>
    </row>
    <row r="10" spans="1:14" x14ac:dyDescent="0.2">
      <c r="A10" s="27" t="s">
        <v>3</v>
      </c>
      <c r="B10" s="44"/>
      <c r="C10" s="32">
        <f>2650</f>
        <v>2650</v>
      </c>
      <c r="D10" s="32"/>
      <c r="E10" s="35">
        <f>2500+5000</f>
        <v>7500</v>
      </c>
      <c r="F10" s="35">
        <f>8000+6000+4500+2500</f>
        <v>21000</v>
      </c>
      <c r="G10" s="35">
        <f>8000+5000+2500</f>
        <v>15500</v>
      </c>
      <c r="H10" s="35">
        <f>6000+6000+9500+7500+5000</f>
        <v>34000</v>
      </c>
      <c r="I10" s="35">
        <f>7500+5000</f>
        <v>12500</v>
      </c>
      <c r="J10" s="35">
        <v>10000</v>
      </c>
      <c r="K10" s="35" t="s">
        <v>122</v>
      </c>
      <c r="L10" s="35" t="s">
        <v>122</v>
      </c>
      <c r="M10" s="35" t="s">
        <v>122</v>
      </c>
      <c r="N10" s="30">
        <f t="shared" si="0"/>
        <v>103150</v>
      </c>
    </row>
    <row r="11" spans="1:14" x14ac:dyDescent="0.2">
      <c r="A11" s="27" t="s">
        <v>4</v>
      </c>
      <c r="B11" s="44"/>
      <c r="C11" s="44"/>
      <c r="D11" s="32">
        <f>202.46</f>
        <v>202.46</v>
      </c>
      <c r="E11" s="15">
        <v>0</v>
      </c>
      <c r="F11" s="15">
        <v>0</v>
      </c>
      <c r="G11" s="35">
        <v>297.54000000000002</v>
      </c>
      <c r="H11" s="15">
        <v>0</v>
      </c>
      <c r="I11" s="35">
        <v>750</v>
      </c>
      <c r="J11" s="35">
        <v>1000</v>
      </c>
      <c r="K11" s="15">
        <v>0</v>
      </c>
      <c r="L11" s="15">
        <v>0</v>
      </c>
      <c r="M11" s="33">
        <v>750</v>
      </c>
      <c r="N11" s="30">
        <f t="shared" si="0"/>
        <v>3000</v>
      </c>
    </row>
    <row r="12" spans="1:14" x14ac:dyDescent="0.2">
      <c r="A12" s="27" t="s">
        <v>83</v>
      </c>
      <c r="B12" s="32">
        <f>1325</f>
        <v>1325</v>
      </c>
      <c r="C12" s="32">
        <f>750</f>
        <v>750</v>
      </c>
      <c r="D12" s="32">
        <v>1080</v>
      </c>
      <c r="E12" s="35">
        <v>350</v>
      </c>
      <c r="F12" s="35">
        <v>335</v>
      </c>
      <c r="G12" s="35">
        <v>160</v>
      </c>
      <c r="H12" s="35"/>
      <c r="I12" s="35">
        <v>0</v>
      </c>
      <c r="J12" s="35">
        <v>1000</v>
      </c>
      <c r="K12" s="35">
        <v>1000</v>
      </c>
      <c r="L12" s="35">
        <v>1000</v>
      </c>
      <c r="M12" s="16">
        <v>1000</v>
      </c>
      <c r="N12" s="30">
        <f t="shared" si="0"/>
        <v>8000</v>
      </c>
    </row>
    <row r="13" spans="1:14" x14ac:dyDescent="0.2">
      <c r="A13" s="27" t="s">
        <v>85</v>
      </c>
      <c r="B13" s="32"/>
      <c r="C13" s="32"/>
      <c r="D13" s="32"/>
      <c r="E13" s="35"/>
      <c r="F13" s="35"/>
      <c r="G13" s="35"/>
      <c r="H13" s="35"/>
      <c r="I13" s="35"/>
      <c r="J13" s="35"/>
      <c r="K13" s="35"/>
      <c r="L13" s="35">
        <v>0</v>
      </c>
      <c r="M13" s="16"/>
      <c r="N13" s="30">
        <f t="shared" si="0"/>
        <v>0</v>
      </c>
    </row>
    <row r="14" spans="1:14" x14ac:dyDescent="0.2">
      <c r="A14" s="8" t="s">
        <v>5</v>
      </c>
      <c r="B14" s="38">
        <f>SUM(B7:B13)</f>
        <v>2235</v>
      </c>
      <c r="C14" s="38">
        <f t="shared" ref="C14:M14" si="1">SUM(C7:C13)</f>
        <v>6595</v>
      </c>
      <c r="D14" s="38">
        <f t="shared" si="1"/>
        <v>56103.46</v>
      </c>
      <c r="E14" s="38">
        <f t="shared" si="1"/>
        <v>9950</v>
      </c>
      <c r="F14" s="38">
        <f t="shared" si="1"/>
        <v>21745</v>
      </c>
      <c r="G14" s="38">
        <f t="shared" si="1"/>
        <v>16867.54</v>
      </c>
      <c r="H14" s="38">
        <f t="shared" si="1"/>
        <v>34910</v>
      </c>
      <c r="I14" s="38">
        <f t="shared" si="1"/>
        <v>14160</v>
      </c>
      <c r="J14" s="38">
        <f t="shared" si="1"/>
        <v>27500</v>
      </c>
      <c r="K14" s="38">
        <f t="shared" si="1"/>
        <v>1910</v>
      </c>
      <c r="L14" s="38">
        <f t="shared" si="1"/>
        <v>2010</v>
      </c>
      <c r="M14" s="36">
        <f t="shared" si="1"/>
        <v>2664</v>
      </c>
      <c r="N14" s="38">
        <f>SUM(N7:N13)</f>
        <v>196650</v>
      </c>
    </row>
    <row r="15" spans="1:14" x14ac:dyDescent="0.2">
      <c r="A15" s="7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1"/>
      <c r="N15" s="34"/>
    </row>
    <row r="16" spans="1:14" x14ac:dyDescent="0.2">
      <c r="A16" s="8" t="s">
        <v>6</v>
      </c>
      <c r="B16" s="43">
        <v>66.22</v>
      </c>
      <c r="C16" s="43">
        <v>57.99</v>
      </c>
      <c r="D16" s="43">
        <v>53.6</v>
      </c>
      <c r="E16" s="43">
        <v>50</v>
      </c>
      <c r="F16" s="43">
        <v>60</v>
      </c>
      <c r="G16" s="43">
        <v>100</v>
      </c>
      <c r="H16" s="43">
        <v>100</v>
      </c>
      <c r="I16" s="43">
        <v>90</v>
      </c>
      <c r="J16" s="43">
        <v>80</v>
      </c>
      <c r="K16" s="43">
        <v>70</v>
      </c>
      <c r="L16" s="43">
        <v>50</v>
      </c>
      <c r="M16" s="40">
        <v>50</v>
      </c>
      <c r="N16" s="37">
        <f>SUM(B16:M16)</f>
        <v>827.81</v>
      </c>
    </row>
    <row r="17" spans="1:14" x14ac:dyDescent="0.2">
      <c r="A17" s="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3"/>
      <c r="N17" s="30"/>
    </row>
    <row r="18" spans="1:14" x14ac:dyDescent="0.2">
      <c r="A18" s="26" t="s">
        <v>7</v>
      </c>
      <c r="B18" s="46"/>
      <c r="C18" s="46"/>
      <c r="D18" s="32"/>
      <c r="E18" s="35"/>
      <c r="F18" s="35"/>
      <c r="G18" s="35"/>
      <c r="H18" s="35"/>
      <c r="I18" s="35"/>
      <c r="J18" s="35"/>
      <c r="K18" s="35"/>
      <c r="L18" s="35"/>
      <c r="M18" s="33"/>
      <c r="N18" s="30"/>
    </row>
    <row r="19" spans="1:14" x14ac:dyDescent="0.2">
      <c r="A19" s="27" t="s">
        <v>8</v>
      </c>
      <c r="B19" s="32">
        <f>25891</f>
        <v>25891</v>
      </c>
      <c r="C19" s="32">
        <f>31631.75</f>
        <v>31631.75</v>
      </c>
      <c r="D19" s="32">
        <v>20159.3</v>
      </c>
      <c r="E19" s="35">
        <v>6750</v>
      </c>
      <c r="F19" s="35">
        <v>5500</v>
      </c>
      <c r="G19" s="35">
        <v>500</v>
      </c>
      <c r="H19" s="35">
        <v>2500</v>
      </c>
      <c r="I19" s="35">
        <v>27000</v>
      </c>
      <c r="J19" s="35">
        <v>26317.95</v>
      </c>
      <c r="K19" s="35">
        <v>26000</v>
      </c>
      <c r="L19" s="35">
        <v>6000</v>
      </c>
      <c r="M19" s="33">
        <v>19000</v>
      </c>
      <c r="N19" s="30">
        <f>SUM(B19:M19)</f>
        <v>197250</v>
      </c>
    </row>
    <row r="20" spans="1:14" x14ac:dyDescent="0.2">
      <c r="A20" s="27" t="s">
        <v>9</v>
      </c>
      <c r="B20" s="32">
        <f>101766</f>
        <v>101766</v>
      </c>
      <c r="C20" s="32">
        <f>195</f>
        <v>195</v>
      </c>
      <c r="D20" s="32">
        <v>90</v>
      </c>
      <c r="E20" s="35">
        <v>0</v>
      </c>
      <c r="F20" s="35">
        <f>(254000*0.35)+(55500*0.55)</f>
        <v>119425</v>
      </c>
      <c r="G20" s="35">
        <f>(254000*0.65)+(55500*0.45)</f>
        <v>190075</v>
      </c>
      <c r="H20" s="35">
        <v>0</v>
      </c>
      <c r="I20" s="35">
        <v>0</v>
      </c>
      <c r="J20" s="35">
        <v>23000</v>
      </c>
      <c r="K20" s="35">
        <v>0</v>
      </c>
      <c r="L20" s="35">
        <v>0</v>
      </c>
      <c r="M20" s="33">
        <v>0</v>
      </c>
      <c r="N20" s="30">
        <f t="shared" ref="N20:N25" si="2">SUM(B20:M20)</f>
        <v>434551</v>
      </c>
    </row>
    <row r="21" spans="1:14" x14ac:dyDescent="0.2">
      <c r="A21" s="27" t="s">
        <v>10</v>
      </c>
      <c r="B21" s="32">
        <f>250</f>
        <v>250</v>
      </c>
      <c r="C21" s="41"/>
      <c r="D21" s="41"/>
      <c r="E21" s="35">
        <v>8750</v>
      </c>
      <c r="F21" s="35">
        <v>16000</v>
      </c>
      <c r="G21" s="35">
        <v>1000</v>
      </c>
      <c r="H21" s="15"/>
      <c r="I21" s="15"/>
      <c r="J21" s="15"/>
      <c r="K21" s="15"/>
      <c r="L21" s="15"/>
      <c r="M21" s="33">
        <v>9000</v>
      </c>
      <c r="N21" s="30">
        <f t="shared" si="2"/>
        <v>35000</v>
      </c>
    </row>
    <row r="22" spans="1:14" x14ac:dyDescent="0.2">
      <c r="A22" s="27" t="s">
        <v>11</v>
      </c>
      <c r="B22" s="44"/>
      <c r="C22" s="32">
        <f>25</f>
        <v>25</v>
      </c>
      <c r="D22" s="41"/>
      <c r="E22" s="15"/>
      <c r="F22" s="15"/>
      <c r="G22" s="15"/>
      <c r="H22" s="15"/>
      <c r="I22" s="15"/>
      <c r="J22" s="15"/>
      <c r="K22" s="15"/>
      <c r="L22" s="15"/>
      <c r="M22" s="16"/>
      <c r="N22" s="30">
        <f t="shared" si="2"/>
        <v>25</v>
      </c>
    </row>
    <row r="23" spans="1:14" x14ac:dyDescent="0.2">
      <c r="A23" s="27" t="s">
        <v>12</v>
      </c>
      <c r="B23" s="32">
        <f>19417.91</f>
        <v>19417.91</v>
      </c>
      <c r="C23" s="32">
        <f>17</f>
        <v>17</v>
      </c>
      <c r="D23" s="41">
        <f>15293.1</f>
        <v>15293.1</v>
      </c>
      <c r="E23" s="15"/>
      <c r="F23" s="15"/>
      <c r="G23" s="15" t="s">
        <v>122</v>
      </c>
      <c r="H23" s="15"/>
      <c r="I23" s="15"/>
      <c r="J23" s="15"/>
      <c r="K23" s="15">
        <v>12500</v>
      </c>
      <c r="L23" s="15">
        <v>2500</v>
      </c>
      <c r="M23" s="16"/>
      <c r="N23" s="30">
        <f t="shared" si="2"/>
        <v>49728.01</v>
      </c>
    </row>
    <row r="24" spans="1:14" x14ac:dyDescent="0.2">
      <c r="A24" s="27" t="s">
        <v>77</v>
      </c>
      <c r="B24" s="32">
        <f>7415</f>
        <v>7415</v>
      </c>
      <c r="C24" s="32">
        <f>7142</f>
        <v>7142</v>
      </c>
      <c r="D24" s="32">
        <v>6905</v>
      </c>
      <c r="E24" s="15">
        <v>3000</v>
      </c>
      <c r="F24" s="15">
        <v>1200</v>
      </c>
      <c r="G24" s="15">
        <v>0</v>
      </c>
      <c r="H24" s="15">
        <v>0</v>
      </c>
      <c r="I24" s="35">
        <v>2000</v>
      </c>
      <c r="J24" s="35">
        <v>15000</v>
      </c>
      <c r="K24" s="35">
        <v>12000</v>
      </c>
      <c r="L24" s="35">
        <v>9000</v>
      </c>
      <c r="M24" s="33">
        <v>6000</v>
      </c>
      <c r="N24" s="30">
        <f t="shared" si="2"/>
        <v>69662</v>
      </c>
    </row>
    <row r="25" spans="1:14" x14ac:dyDescent="0.2">
      <c r="A25" s="27" t="s">
        <v>86</v>
      </c>
      <c r="B25" s="32">
        <f>875</f>
        <v>875</v>
      </c>
      <c r="C25" s="41"/>
      <c r="D25" s="41"/>
      <c r="E25" s="15"/>
      <c r="F25" s="15"/>
      <c r="G25" s="15"/>
      <c r="H25" s="15"/>
      <c r="I25" s="15"/>
      <c r="J25" s="15"/>
      <c r="K25" s="15"/>
      <c r="L25" s="35">
        <v>30000</v>
      </c>
      <c r="M25" s="33">
        <v>50000</v>
      </c>
      <c r="N25" s="30">
        <f t="shared" si="2"/>
        <v>80875</v>
      </c>
    </row>
    <row r="26" spans="1:14" x14ac:dyDescent="0.2">
      <c r="A26" s="8" t="s">
        <v>13</v>
      </c>
      <c r="B26" s="38">
        <f>SUM(B18:B25)</f>
        <v>155614.91</v>
      </c>
      <c r="C26" s="38">
        <f t="shared" ref="C26:M26" si="3">SUM(C18:C25)</f>
        <v>39010.75</v>
      </c>
      <c r="D26" s="38">
        <f>SUM(D18:D25)</f>
        <v>42447.4</v>
      </c>
      <c r="E26" s="38">
        <f>SUM(E18:E25)</f>
        <v>18500</v>
      </c>
      <c r="F26" s="38">
        <f t="shared" si="3"/>
        <v>142125</v>
      </c>
      <c r="G26" s="38">
        <f t="shared" si="3"/>
        <v>191575</v>
      </c>
      <c r="H26" s="38">
        <f t="shared" si="3"/>
        <v>2500</v>
      </c>
      <c r="I26" s="38">
        <f t="shared" si="3"/>
        <v>29000</v>
      </c>
      <c r="J26" s="38">
        <f t="shared" si="3"/>
        <v>64317.95</v>
      </c>
      <c r="K26" s="38">
        <f t="shared" si="3"/>
        <v>50500</v>
      </c>
      <c r="L26" s="38">
        <f t="shared" si="3"/>
        <v>47500</v>
      </c>
      <c r="M26" s="36">
        <f t="shared" si="3"/>
        <v>84000</v>
      </c>
      <c r="N26" s="38">
        <f>SUM(N18:N25)</f>
        <v>867091.01</v>
      </c>
    </row>
    <row r="27" spans="1:14" x14ac:dyDescent="0.2">
      <c r="A27" s="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1"/>
      <c r="N27" s="34"/>
    </row>
    <row r="28" spans="1:14" x14ac:dyDescent="0.2">
      <c r="A28" s="26" t="s">
        <v>14</v>
      </c>
      <c r="B28" s="41"/>
      <c r="C28" s="41"/>
      <c r="D28" s="29"/>
      <c r="E28" s="15"/>
      <c r="F28" s="15"/>
      <c r="G28" s="15"/>
      <c r="H28" s="15"/>
      <c r="I28" s="15"/>
      <c r="J28" s="15"/>
      <c r="K28" s="15"/>
      <c r="L28" s="15"/>
      <c r="M28" s="16"/>
      <c r="N28" s="30"/>
    </row>
    <row r="29" spans="1:14" x14ac:dyDescent="0.2">
      <c r="A29" s="27" t="s">
        <v>15</v>
      </c>
      <c r="B29" s="46">
        <f>-1530.75</f>
        <v>-1530.75</v>
      </c>
      <c r="C29" s="46">
        <f>-2551.7</f>
        <v>-2551.6999999999998</v>
      </c>
      <c r="D29" s="39">
        <v>-2972.7</v>
      </c>
      <c r="E29" s="35">
        <f>E19*-0.11</f>
        <v>-742.5</v>
      </c>
      <c r="F29" s="35">
        <f t="shared" ref="F29:M29" si="4">F19*-0.11</f>
        <v>-605</v>
      </c>
      <c r="G29" s="35">
        <f t="shared" si="4"/>
        <v>-55</v>
      </c>
      <c r="H29" s="35">
        <f t="shared" si="4"/>
        <v>-275</v>
      </c>
      <c r="I29" s="35">
        <f t="shared" si="4"/>
        <v>-2970</v>
      </c>
      <c r="J29" s="35">
        <f t="shared" si="4"/>
        <v>-2894.9745000000003</v>
      </c>
      <c r="K29" s="35">
        <f t="shared" si="4"/>
        <v>-2860</v>
      </c>
      <c r="L29" s="35">
        <f t="shared" si="4"/>
        <v>-660</v>
      </c>
      <c r="M29" s="35">
        <f t="shared" si="4"/>
        <v>-2090</v>
      </c>
      <c r="N29" s="30">
        <f>SUM(B29:M29)</f>
        <v>-20207.624499999998</v>
      </c>
    </row>
    <row r="30" spans="1:14" x14ac:dyDescent="0.2">
      <c r="A30" s="27" t="s">
        <v>16</v>
      </c>
      <c r="B30" s="46">
        <f>-3517</f>
        <v>-3517</v>
      </c>
      <c r="C30" s="46">
        <f>-290</f>
        <v>-290</v>
      </c>
      <c r="D30" s="29">
        <v>-120</v>
      </c>
      <c r="E30" s="15"/>
      <c r="F30" s="15">
        <v>-16000</v>
      </c>
      <c r="G30" s="35">
        <v>-20000</v>
      </c>
      <c r="H30" s="15"/>
      <c r="I30" s="35">
        <f>-230*4</f>
        <v>-920</v>
      </c>
      <c r="J30" s="35">
        <v>0</v>
      </c>
      <c r="K30" s="35">
        <v>0</v>
      </c>
      <c r="L30" s="35">
        <v>0</v>
      </c>
      <c r="M30" s="33">
        <v>0</v>
      </c>
      <c r="N30" s="30">
        <f t="shared" ref="N30:N33" si="5">SUM(B30:M30)</f>
        <v>-40847</v>
      </c>
    </row>
    <row r="31" spans="1:14" x14ac:dyDescent="0.2">
      <c r="A31" s="27" t="s">
        <v>17</v>
      </c>
      <c r="B31" s="46"/>
      <c r="C31" s="41"/>
      <c r="D31" s="29"/>
      <c r="E31" s="35">
        <v>-1500</v>
      </c>
      <c r="F31" s="35">
        <v>-1600</v>
      </c>
      <c r="G31" s="35">
        <v>-200</v>
      </c>
      <c r="H31" s="15"/>
      <c r="I31" s="15">
        <v>-500</v>
      </c>
      <c r="J31" s="15"/>
      <c r="K31" s="15"/>
      <c r="L31" s="15"/>
      <c r="M31" s="33">
        <v>-1000</v>
      </c>
      <c r="N31" s="30">
        <f t="shared" si="5"/>
        <v>-4800</v>
      </c>
    </row>
    <row r="32" spans="1:14" x14ac:dyDescent="0.2">
      <c r="A32" s="27" t="s">
        <v>82</v>
      </c>
      <c r="B32" s="46">
        <f>-131.3</f>
        <v>-131.30000000000001</v>
      </c>
      <c r="C32" s="46">
        <f>-136.5</f>
        <v>-136.5</v>
      </c>
      <c r="D32" s="29">
        <v>-305.5</v>
      </c>
      <c r="E32" s="15">
        <f>E24*-0.035</f>
        <v>-105.00000000000001</v>
      </c>
      <c r="F32" s="15">
        <f>F24*-0.035</f>
        <v>-42.000000000000007</v>
      </c>
      <c r="G32" s="15">
        <f>G24*-0.035</f>
        <v>0</v>
      </c>
      <c r="H32" s="15">
        <f>H24*-0.035</f>
        <v>0</v>
      </c>
      <c r="I32" s="15">
        <f>I24*-0.035</f>
        <v>-70</v>
      </c>
      <c r="J32" s="35">
        <v>-896.5</v>
      </c>
      <c r="K32" s="35">
        <v>-523</v>
      </c>
      <c r="L32" s="35">
        <v>-199.25</v>
      </c>
      <c r="M32" s="33">
        <v>-375.7</v>
      </c>
      <c r="N32" s="30">
        <f t="shared" si="5"/>
        <v>-2784.75</v>
      </c>
    </row>
    <row r="33" spans="1:14" x14ac:dyDescent="0.2">
      <c r="A33" s="27" t="s">
        <v>87</v>
      </c>
      <c r="B33" s="46">
        <f>-110</f>
        <v>-110</v>
      </c>
      <c r="C33" s="41"/>
      <c r="D33" s="29"/>
      <c r="E33" s="15"/>
      <c r="F33" s="15"/>
      <c r="G33" s="15"/>
      <c r="H33" s="15"/>
      <c r="I33" s="15"/>
      <c r="J33" s="15"/>
      <c r="K33" s="15"/>
      <c r="L33" s="35">
        <f>L25*-0.073</f>
        <v>-2190</v>
      </c>
      <c r="M33" s="35">
        <f>M25*-0.073</f>
        <v>-3649.9999999999995</v>
      </c>
      <c r="N33" s="30">
        <f t="shared" si="5"/>
        <v>-5950</v>
      </c>
    </row>
    <row r="34" spans="1:14" x14ac:dyDescent="0.2">
      <c r="A34" s="8" t="s">
        <v>18</v>
      </c>
      <c r="B34" s="38">
        <f>SUM(B28:B33)</f>
        <v>-5289.05</v>
      </c>
      <c r="C34" s="38">
        <f t="shared" ref="C34:L34" si="6">SUM(C28:C33)</f>
        <v>-2978.2</v>
      </c>
      <c r="D34" s="38">
        <f t="shared" si="6"/>
        <v>-3398.2</v>
      </c>
      <c r="E34" s="38">
        <f t="shared" si="6"/>
        <v>-2347.5</v>
      </c>
      <c r="F34" s="38">
        <f t="shared" si="6"/>
        <v>-18247</v>
      </c>
      <c r="G34" s="38">
        <f t="shared" si="6"/>
        <v>-20255</v>
      </c>
      <c r="H34" s="38">
        <f t="shared" si="6"/>
        <v>-275</v>
      </c>
      <c r="I34" s="38">
        <f t="shared" si="6"/>
        <v>-4460</v>
      </c>
      <c r="J34" s="38">
        <f t="shared" si="6"/>
        <v>-3791.4745000000003</v>
      </c>
      <c r="K34" s="38">
        <f t="shared" si="6"/>
        <v>-3383</v>
      </c>
      <c r="L34" s="38">
        <f t="shared" si="6"/>
        <v>-3049.25</v>
      </c>
      <c r="M34" s="36">
        <f>SUM(M28:M33)</f>
        <v>-7115.6999999999989</v>
      </c>
      <c r="N34" s="38">
        <f>SUM(N28:N33)</f>
        <v>-74589.374500000005</v>
      </c>
    </row>
    <row r="35" spans="1:14" x14ac:dyDescent="0.2">
      <c r="A35" s="7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1"/>
      <c r="N35" s="34"/>
    </row>
    <row r="36" spans="1:14" x14ac:dyDescent="0.2">
      <c r="A36" s="26" t="s">
        <v>78</v>
      </c>
      <c r="B36" s="29"/>
      <c r="C36" s="29"/>
      <c r="D36" s="29"/>
      <c r="E36" s="15"/>
      <c r="F36" s="15"/>
      <c r="G36" s="15"/>
      <c r="H36" s="15"/>
      <c r="I36" s="15"/>
      <c r="J36" s="15"/>
      <c r="K36" s="15"/>
      <c r="L36" s="15"/>
      <c r="M36" s="16"/>
      <c r="N36" s="30"/>
    </row>
    <row r="37" spans="1:14" x14ac:dyDescent="0.2">
      <c r="A37" s="27" t="s">
        <v>81</v>
      </c>
      <c r="B37" s="46">
        <f>-285.5</f>
        <v>-285.5</v>
      </c>
      <c r="C37" s="46">
        <f>-135</f>
        <v>-135</v>
      </c>
      <c r="D37" s="29">
        <v>-149.5</v>
      </c>
      <c r="E37" s="15">
        <f>-0.008*E19</f>
        <v>-54</v>
      </c>
      <c r="F37" s="15">
        <f t="shared" ref="F37:M37" si="7">-0.008*F19</f>
        <v>-44</v>
      </c>
      <c r="G37" s="15">
        <f t="shared" si="7"/>
        <v>-4</v>
      </c>
      <c r="H37" s="15">
        <f t="shared" si="7"/>
        <v>-20</v>
      </c>
      <c r="I37" s="15">
        <f t="shared" si="7"/>
        <v>-216</v>
      </c>
      <c r="J37" s="15">
        <f t="shared" si="7"/>
        <v>-210.5436</v>
      </c>
      <c r="K37" s="15">
        <f t="shared" si="7"/>
        <v>-208</v>
      </c>
      <c r="L37" s="15">
        <f t="shared" si="7"/>
        <v>-48</v>
      </c>
      <c r="M37" s="15">
        <f t="shared" si="7"/>
        <v>-152</v>
      </c>
      <c r="N37" s="30">
        <f>SUM(B37:M37)</f>
        <v>-1526.5436</v>
      </c>
    </row>
    <row r="38" spans="1:14" x14ac:dyDescent="0.2">
      <c r="A38" s="27" t="s">
        <v>79</v>
      </c>
      <c r="B38" s="46">
        <f>-3149.5</f>
        <v>-3149.5</v>
      </c>
      <c r="C38" s="46">
        <f>-305</f>
        <v>-305</v>
      </c>
      <c r="D38" s="29">
        <v>-535</v>
      </c>
      <c r="E38" s="15">
        <v>0</v>
      </c>
      <c r="F38" s="15">
        <v>0</v>
      </c>
      <c r="G38" s="15">
        <v>-2500</v>
      </c>
      <c r="H38" s="15">
        <v>-2000</v>
      </c>
      <c r="I38" s="15">
        <v>-1000</v>
      </c>
      <c r="J38" s="15"/>
      <c r="K38" s="15"/>
      <c r="L38" s="15"/>
      <c r="M38" s="15"/>
      <c r="N38" s="30">
        <f t="shared" ref="N38:N42" si="8">SUM(B38:M38)</f>
        <v>-9489.5</v>
      </c>
    </row>
    <row r="39" spans="1:14" x14ac:dyDescent="0.2">
      <c r="A39" s="27" t="s">
        <v>88</v>
      </c>
      <c r="B39" s="46">
        <f>-39</f>
        <v>-39</v>
      </c>
      <c r="C39" s="46">
        <f>-37.8</f>
        <v>-37.799999999999997</v>
      </c>
      <c r="D39" s="29">
        <v>-73</v>
      </c>
      <c r="E39" s="15">
        <f>-0.008*E24</f>
        <v>-24</v>
      </c>
      <c r="F39" s="15">
        <f t="shared" ref="F39:M39" si="9">-0.008*F24</f>
        <v>-9.6</v>
      </c>
      <c r="G39" s="15">
        <f t="shared" si="9"/>
        <v>0</v>
      </c>
      <c r="H39" s="15">
        <f t="shared" si="9"/>
        <v>0</v>
      </c>
      <c r="I39" s="15">
        <f t="shared" si="9"/>
        <v>-16</v>
      </c>
      <c r="J39" s="15">
        <f t="shared" si="9"/>
        <v>-120</v>
      </c>
      <c r="K39" s="15">
        <f t="shared" si="9"/>
        <v>-96</v>
      </c>
      <c r="L39" s="15">
        <f t="shared" si="9"/>
        <v>-72</v>
      </c>
      <c r="M39" s="15">
        <f t="shared" si="9"/>
        <v>-48</v>
      </c>
      <c r="N39" s="30">
        <f t="shared" si="8"/>
        <v>-535.4</v>
      </c>
    </row>
    <row r="40" spans="1:14" x14ac:dyDescent="0.2">
      <c r="A40" s="27" t="s">
        <v>89</v>
      </c>
      <c r="B40" s="29">
        <v>0</v>
      </c>
      <c r="C40" s="29">
        <v>0</v>
      </c>
      <c r="D40" s="29">
        <v>0</v>
      </c>
      <c r="E40" s="15">
        <v>0</v>
      </c>
      <c r="F40" s="15">
        <v>-150</v>
      </c>
      <c r="G40" s="15">
        <v>-150</v>
      </c>
      <c r="H40" s="15">
        <v>0</v>
      </c>
      <c r="I40" s="15">
        <v>-35</v>
      </c>
      <c r="J40" s="15">
        <v>0</v>
      </c>
      <c r="K40" s="15">
        <v>0</v>
      </c>
      <c r="L40" s="15">
        <v>0</v>
      </c>
      <c r="M40" s="33">
        <v>-100</v>
      </c>
      <c r="N40" s="30">
        <f t="shared" si="8"/>
        <v>-435</v>
      </c>
    </row>
    <row r="41" spans="1:14" x14ac:dyDescent="0.2">
      <c r="A41" s="27" t="s">
        <v>90</v>
      </c>
      <c r="B41" s="29"/>
      <c r="C41" s="29"/>
      <c r="D41" s="29"/>
      <c r="E41" s="15"/>
      <c r="F41" s="15"/>
      <c r="G41" s="15"/>
      <c r="H41" s="15"/>
      <c r="I41" s="15"/>
      <c r="J41" s="15"/>
      <c r="K41" s="15"/>
      <c r="L41" s="15">
        <v>-500</v>
      </c>
      <c r="M41" s="33">
        <v>-750</v>
      </c>
      <c r="N41" s="30">
        <f t="shared" si="8"/>
        <v>-1250</v>
      </c>
    </row>
    <row r="42" spans="1:14" x14ac:dyDescent="0.2">
      <c r="A42" s="27" t="s">
        <v>121</v>
      </c>
      <c r="B42" s="29"/>
      <c r="C42" s="29"/>
      <c r="D42" s="29"/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0">
        <f t="shared" si="8"/>
        <v>0</v>
      </c>
    </row>
    <row r="43" spans="1:14" x14ac:dyDescent="0.2">
      <c r="A43" s="8" t="s">
        <v>80</v>
      </c>
      <c r="B43" s="38">
        <f>SUM(B36:B42)</f>
        <v>-3474</v>
      </c>
      <c r="C43" s="38">
        <f t="shared" ref="C43:M43" si="10">SUM(C36:C42)</f>
        <v>-477.8</v>
      </c>
      <c r="D43" s="38">
        <f t="shared" si="10"/>
        <v>-757.5</v>
      </c>
      <c r="E43" s="38">
        <f t="shared" si="10"/>
        <v>-78</v>
      </c>
      <c r="F43" s="38">
        <f t="shared" si="10"/>
        <v>-203.6</v>
      </c>
      <c r="G43" s="38">
        <f t="shared" si="10"/>
        <v>-2654</v>
      </c>
      <c r="H43" s="38">
        <f t="shared" si="10"/>
        <v>-2020</v>
      </c>
      <c r="I43" s="38">
        <f t="shared" si="10"/>
        <v>-1267</v>
      </c>
      <c r="J43" s="38">
        <f t="shared" si="10"/>
        <v>-330.54359999999997</v>
      </c>
      <c r="K43" s="38">
        <f t="shared" si="10"/>
        <v>-304</v>
      </c>
      <c r="L43" s="38">
        <f t="shared" si="10"/>
        <v>-620</v>
      </c>
      <c r="M43" s="36">
        <f t="shared" si="10"/>
        <v>-1050</v>
      </c>
      <c r="N43" s="38">
        <f>SUM(N37:N42)</f>
        <v>-13236.443600000001</v>
      </c>
    </row>
    <row r="44" spans="1:14" x14ac:dyDescent="0.2">
      <c r="A44" s="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8"/>
      <c r="N44" s="47"/>
    </row>
    <row r="45" spans="1:14" ht="15.75" x14ac:dyDescent="0.25">
      <c r="A45" s="23" t="s">
        <v>19</v>
      </c>
      <c r="B45" s="49">
        <f>B14+B16+B26+B34+B43</f>
        <v>149153.08000000002</v>
      </c>
      <c r="C45" s="49">
        <f t="shared" ref="C45:M45" si="11">C14+C16+C26+C34+C43</f>
        <v>42207.74</v>
      </c>
      <c r="D45" s="49">
        <f t="shared" si="11"/>
        <v>94448.76</v>
      </c>
      <c r="E45" s="49">
        <f t="shared" si="11"/>
        <v>26074.5</v>
      </c>
      <c r="F45" s="49">
        <f t="shared" si="11"/>
        <v>145479.4</v>
      </c>
      <c r="G45" s="49">
        <f t="shared" si="11"/>
        <v>185633.54</v>
      </c>
      <c r="H45" s="49">
        <f t="shared" si="11"/>
        <v>35215</v>
      </c>
      <c r="I45" s="49">
        <f t="shared" si="11"/>
        <v>37523</v>
      </c>
      <c r="J45" s="49">
        <f t="shared" si="11"/>
        <v>87775.931899999996</v>
      </c>
      <c r="K45" s="49">
        <f t="shared" si="11"/>
        <v>48793</v>
      </c>
      <c r="L45" s="49">
        <f t="shared" si="11"/>
        <v>45890.75</v>
      </c>
      <c r="M45" s="50">
        <f t="shared" si="11"/>
        <v>78548.3</v>
      </c>
      <c r="N45" s="49">
        <f>N14+N16+N26+N34+N43</f>
        <v>976743.00190000003</v>
      </c>
    </row>
    <row r="46" spans="1:14" x14ac:dyDescent="0.2">
      <c r="A46" s="10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1"/>
      <c r="N46" s="34"/>
    </row>
    <row r="47" spans="1:14" ht="15.75" x14ac:dyDescent="0.25">
      <c r="A47" s="25" t="s">
        <v>20</v>
      </c>
      <c r="B47" s="29"/>
      <c r="C47" s="29"/>
      <c r="D47" s="29"/>
      <c r="E47" s="15"/>
      <c r="F47" s="15"/>
      <c r="G47" s="15"/>
      <c r="H47" s="15"/>
      <c r="I47" s="15"/>
      <c r="J47" s="15"/>
      <c r="K47" s="15"/>
      <c r="L47" s="15"/>
      <c r="M47" s="16"/>
      <c r="N47" s="59"/>
    </row>
    <row r="48" spans="1:14" x14ac:dyDescent="0.2">
      <c r="A48" s="27" t="s">
        <v>21</v>
      </c>
      <c r="B48" s="29"/>
      <c r="C48" s="29"/>
      <c r="D48" s="29"/>
      <c r="E48" s="15"/>
      <c r="F48" s="15"/>
      <c r="G48" s="15"/>
      <c r="H48" s="15"/>
      <c r="I48" s="15"/>
      <c r="J48" s="15"/>
      <c r="K48" s="15"/>
      <c r="L48" s="15"/>
      <c r="M48" s="16"/>
      <c r="N48" s="30"/>
    </row>
    <row r="49" spans="1:14" x14ac:dyDescent="0.2">
      <c r="A49" s="27" t="s">
        <v>22</v>
      </c>
      <c r="B49" s="46">
        <f>58.18</f>
        <v>58.18</v>
      </c>
      <c r="C49" s="41">
        <v>0</v>
      </c>
      <c r="D49" s="41">
        <v>0</v>
      </c>
      <c r="E49" s="15">
        <v>50</v>
      </c>
      <c r="F49" s="35">
        <v>50</v>
      </c>
      <c r="G49" s="35">
        <v>0</v>
      </c>
      <c r="H49" s="15"/>
      <c r="I49" s="15"/>
      <c r="J49" s="35">
        <v>2200</v>
      </c>
      <c r="K49" s="35">
        <v>1800</v>
      </c>
      <c r="L49" s="15"/>
      <c r="M49" s="16"/>
      <c r="N49" s="30">
        <f>SUM(B49:M49)</f>
        <v>4158.18</v>
      </c>
    </row>
    <row r="50" spans="1:14" x14ac:dyDescent="0.2">
      <c r="A50" s="27" t="s">
        <v>23</v>
      </c>
      <c r="B50" s="41">
        <v>0</v>
      </c>
      <c r="C50" s="41">
        <v>0</v>
      </c>
      <c r="D50" s="4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30">
        <f t="shared" ref="N50:N56" si="12">SUM(B50:M50)</f>
        <v>0</v>
      </c>
    </row>
    <row r="51" spans="1:14" x14ac:dyDescent="0.2">
      <c r="A51" s="27" t="s">
        <v>24</v>
      </c>
      <c r="B51" s="46">
        <f>4399.75</f>
        <v>4399.75</v>
      </c>
      <c r="C51" s="46">
        <f>-833.81</f>
        <v>-833.81</v>
      </c>
      <c r="D51" s="46"/>
      <c r="E51" s="61">
        <v>0</v>
      </c>
      <c r="F51" s="35">
        <v>18000</v>
      </c>
      <c r="G51" s="35">
        <v>18000</v>
      </c>
      <c r="H51" s="35">
        <v>18000</v>
      </c>
      <c r="I51" s="35">
        <v>2000</v>
      </c>
      <c r="J51" s="61"/>
      <c r="K51" s="61" t="s">
        <v>122</v>
      </c>
      <c r="L51" s="61" t="s">
        <v>122</v>
      </c>
      <c r="M51" s="61" t="s">
        <v>122</v>
      </c>
      <c r="N51" s="30">
        <f t="shared" si="12"/>
        <v>59565.94</v>
      </c>
    </row>
    <row r="52" spans="1:14" x14ac:dyDescent="0.2">
      <c r="A52" s="27" t="s">
        <v>25</v>
      </c>
      <c r="B52" s="41">
        <v>0</v>
      </c>
      <c r="C52" s="41">
        <v>0</v>
      </c>
      <c r="D52" s="41">
        <v>0</v>
      </c>
      <c r="E52" s="61">
        <v>0</v>
      </c>
      <c r="F52" s="35">
        <v>0</v>
      </c>
      <c r="G52" s="35">
        <v>0</v>
      </c>
      <c r="H52" s="35">
        <v>0</v>
      </c>
      <c r="I52" s="35">
        <v>0</v>
      </c>
      <c r="J52" s="61">
        <v>0</v>
      </c>
      <c r="K52" s="61">
        <v>0</v>
      </c>
      <c r="L52" s="61">
        <v>0</v>
      </c>
      <c r="M52" s="61">
        <v>0</v>
      </c>
      <c r="N52" s="30">
        <f t="shared" si="12"/>
        <v>0</v>
      </c>
    </row>
    <row r="53" spans="1:14" x14ac:dyDescent="0.2">
      <c r="A53" s="27" t="s">
        <v>26</v>
      </c>
      <c r="B53" s="41">
        <v>0</v>
      </c>
      <c r="C53" s="41">
        <v>0</v>
      </c>
      <c r="D53" s="41">
        <v>0</v>
      </c>
      <c r="E53" s="15"/>
      <c r="F53" s="15"/>
      <c r="G53" s="15"/>
      <c r="H53" s="15"/>
      <c r="I53" s="15"/>
      <c r="J53" s="15"/>
      <c r="K53" s="15"/>
      <c r="L53" s="15"/>
      <c r="M53" s="16"/>
      <c r="N53" s="30">
        <f t="shared" si="12"/>
        <v>0</v>
      </c>
    </row>
    <row r="54" spans="1:14" x14ac:dyDescent="0.2">
      <c r="A54" s="27" t="s">
        <v>91</v>
      </c>
      <c r="B54" s="46">
        <f>4053.07</f>
        <v>4053.07</v>
      </c>
      <c r="C54" s="46">
        <f>758.08</f>
        <v>758.08</v>
      </c>
      <c r="D54" s="46">
        <v>4496.03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f>3000+1000</f>
        <v>4000</v>
      </c>
      <c r="L54" s="15">
        <v>2500</v>
      </c>
      <c r="M54" s="33">
        <v>0</v>
      </c>
      <c r="N54" s="30">
        <f t="shared" si="12"/>
        <v>15807.18</v>
      </c>
    </row>
    <row r="55" spans="1:14" x14ac:dyDescent="0.2">
      <c r="A55" s="27" t="s">
        <v>92</v>
      </c>
      <c r="B55" s="46">
        <f>43.85</f>
        <v>43.85</v>
      </c>
      <c r="C55" s="41">
        <v>0</v>
      </c>
      <c r="D55" s="41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33">
        <v>4000</v>
      </c>
      <c r="N55" s="30">
        <f t="shared" si="12"/>
        <v>4043.85</v>
      </c>
    </row>
    <row r="56" spans="1:14" x14ac:dyDescent="0.2">
      <c r="A56" s="27" t="s">
        <v>93</v>
      </c>
      <c r="B56" s="46">
        <f>570.25</f>
        <v>570.25</v>
      </c>
      <c r="C56" s="41">
        <v>0</v>
      </c>
      <c r="D56" s="41">
        <v>0</v>
      </c>
      <c r="E56" s="15">
        <v>0</v>
      </c>
      <c r="F56" s="15">
        <v>0</v>
      </c>
      <c r="G56" s="15">
        <v>0</v>
      </c>
      <c r="H56" s="15">
        <v>0</v>
      </c>
      <c r="I56" s="15">
        <v>575</v>
      </c>
      <c r="J56" s="15">
        <v>0</v>
      </c>
      <c r="K56" s="15">
        <v>0</v>
      </c>
      <c r="L56" s="15">
        <v>0</v>
      </c>
      <c r="M56" s="33">
        <v>0</v>
      </c>
      <c r="N56" s="30">
        <f t="shared" si="12"/>
        <v>1145.25</v>
      </c>
    </row>
    <row r="57" spans="1:14" x14ac:dyDescent="0.2">
      <c r="A57" s="8" t="s">
        <v>27</v>
      </c>
      <c r="B57" s="38">
        <f>SUM(B49:B56)</f>
        <v>9125.1</v>
      </c>
      <c r="C57" s="38">
        <f t="shared" ref="C57:M57" si="13">SUM(C49:C56)</f>
        <v>-75.729999999999905</v>
      </c>
      <c r="D57" s="38">
        <f t="shared" si="13"/>
        <v>4496.03</v>
      </c>
      <c r="E57" s="38">
        <f t="shared" si="13"/>
        <v>50</v>
      </c>
      <c r="F57" s="38">
        <f t="shared" si="13"/>
        <v>18050</v>
      </c>
      <c r="G57" s="38">
        <f t="shared" si="13"/>
        <v>18000</v>
      </c>
      <c r="H57" s="38">
        <f t="shared" si="13"/>
        <v>18000</v>
      </c>
      <c r="I57" s="38">
        <f t="shared" si="13"/>
        <v>2575</v>
      </c>
      <c r="J57" s="38">
        <f t="shared" si="13"/>
        <v>2200</v>
      </c>
      <c r="K57" s="38">
        <f t="shared" si="13"/>
        <v>5800</v>
      </c>
      <c r="L57" s="38">
        <f t="shared" si="13"/>
        <v>2500</v>
      </c>
      <c r="M57" s="51">
        <f t="shared" si="13"/>
        <v>4000</v>
      </c>
      <c r="N57" s="38">
        <f>SUM(N49:N56)</f>
        <v>84720.400000000009</v>
      </c>
    </row>
    <row r="58" spans="1:14" x14ac:dyDescent="0.2">
      <c r="A58" s="11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8"/>
      <c r="N58" s="47"/>
    </row>
    <row r="59" spans="1:14" ht="15.75" x14ac:dyDescent="0.25">
      <c r="A59" s="24" t="s">
        <v>29</v>
      </c>
      <c r="B59" s="49">
        <f>B45-B57</f>
        <v>140027.98000000001</v>
      </c>
      <c r="C59" s="49">
        <f t="shared" ref="C59:N59" si="14">C45-C57</f>
        <v>42283.47</v>
      </c>
      <c r="D59" s="49">
        <f t="shared" si="14"/>
        <v>89952.73</v>
      </c>
      <c r="E59" s="49">
        <f t="shared" si="14"/>
        <v>26024.5</v>
      </c>
      <c r="F59" s="49">
        <f t="shared" si="14"/>
        <v>127429.4</v>
      </c>
      <c r="G59" s="49">
        <f t="shared" si="14"/>
        <v>167633.54</v>
      </c>
      <c r="H59" s="49">
        <f t="shared" si="14"/>
        <v>17215</v>
      </c>
      <c r="I59" s="49">
        <f t="shared" si="14"/>
        <v>34948</v>
      </c>
      <c r="J59" s="49">
        <f t="shared" si="14"/>
        <v>85575.931899999996</v>
      </c>
      <c r="K59" s="49">
        <f t="shared" si="14"/>
        <v>42993</v>
      </c>
      <c r="L59" s="49">
        <f t="shared" si="14"/>
        <v>43390.75</v>
      </c>
      <c r="M59" s="50">
        <f t="shared" si="14"/>
        <v>74548.3</v>
      </c>
      <c r="N59" s="49">
        <f t="shared" si="14"/>
        <v>892022.60190000001</v>
      </c>
    </row>
    <row r="60" spans="1:14" x14ac:dyDescent="0.2">
      <c r="A60" s="12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1"/>
      <c r="N60" s="34"/>
    </row>
    <row r="61" spans="1:14" ht="15.75" x14ac:dyDescent="0.25">
      <c r="A61" s="25" t="s">
        <v>30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45"/>
      <c r="N61" s="42"/>
    </row>
    <row r="62" spans="1:14" x14ac:dyDescent="0.2">
      <c r="A62" s="21" t="s">
        <v>31</v>
      </c>
      <c r="B62" s="22">
        <v>214.02</v>
      </c>
      <c r="C62" s="22">
        <v>3161.31</v>
      </c>
      <c r="D62" s="22"/>
      <c r="E62" s="15">
        <v>0</v>
      </c>
      <c r="F62" s="15">
        <v>0</v>
      </c>
      <c r="G62" s="3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6">
        <v>0</v>
      </c>
      <c r="N62" s="30">
        <f>SUM(B62:M62)</f>
        <v>3375.33</v>
      </c>
    </row>
    <row r="63" spans="1:14" x14ac:dyDescent="0.2">
      <c r="A63" s="13"/>
      <c r="B63" s="15"/>
      <c r="C63" s="15"/>
      <c r="D63" s="15"/>
      <c r="E63" s="15"/>
      <c r="F63" s="15"/>
      <c r="G63" s="35"/>
      <c r="H63" s="15"/>
      <c r="I63" s="15"/>
      <c r="J63" s="15"/>
      <c r="K63" s="15"/>
      <c r="L63" s="15"/>
      <c r="M63" s="16"/>
      <c r="N63" s="30"/>
    </row>
    <row r="64" spans="1:14" x14ac:dyDescent="0.2">
      <c r="A64" s="21" t="s">
        <v>32</v>
      </c>
      <c r="B64" s="22">
        <v>39</v>
      </c>
      <c r="C64" s="28">
        <v>17.36</v>
      </c>
      <c r="D64" s="28">
        <v>0</v>
      </c>
      <c r="E64" s="35">
        <v>48</v>
      </c>
      <c r="F64" s="35">
        <v>0</v>
      </c>
      <c r="G64" s="35">
        <v>0</v>
      </c>
      <c r="H64" s="35">
        <v>0</v>
      </c>
      <c r="I64" s="35">
        <v>48</v>
      </c>
      <c r="J64" s="35">
        <v>0</v>
      </c>
      <c r="K64" s="35">
        <v>0</v>
      </c>
      <c r="L64" s="35">
        <v>0</v>
      </c>
      <c r="M64" s="33">
        <v>48</v>
      </c>
      <c r="N64" s="30">
        <f t="shared" ref="N64:N76" si="15">SUM(B64:M64)</f>
        <v>200.36</v>
      </c>
    </row>
    <row r="65" spans="1:14" x14ac:dyDescent="0.2">
      <c r="A65" s="21" t="s">
        <v>109</v>
      </c>
      <c r="B65" s="22">
        <v>41.67</v>
      </c>
      <c r="C65" s="22">
        <v>6.52</v>
      </c>
      <c r="D65" s="22">
        <v>1133.76</v>
      </c>
      <c r="E65" s="15">
        <f>0.0211*E8</f>
        <v>44.31</v>
      </c>
      <c r="F65" s="15">
        <f t="shared" ref="F65:M65" si="16">0.0211*F8</f>
        <v>8.6509999999999998</v>
      </c>
      <c r="G65" s="15">
        <f t="shared" si="16"/>
        <v>8.6509999999999998</v>
      </c>
      <c r="H65" s="15">
        <f t="shared" si="16"/>
        <v>8.6509999999999998</v>
      </c>
      <c r="I65" s="15">
        <f t="shared" si="16"/>
        <v>8.6509999999999998</v>
      </c>
      <c r="J65" s="15">
        <f>10</f>
        <v>10</v>
      </c>
      <c r="K65" s="15">
        <f t="shared" si="16"/>
        <v>8.6509999999999998</v>
      </c>
      <c r="L65" s="15">
        <f t="shared" si="16"/>
        <v>10.761000000000001</v>
      </c>
      <c r="M65" s="15">
        <f t="shared" si="16"/>
        <v>8.7354000000000003</v>
      </c>
      <c r="N65" s="30">
        <f t="shared" si="15"/>
        <v>1299.0114000000003</v>
      </c>
    </row>
    <row r="66" spans="1:14" x14ac:dyDescent="0.2">
      <c r="A66" s="21" t="s">
        <v>110</v>
      </c>
      <c r="B66" s="22">
        <v>0</v>
      </c>
      <c r="C66" s="22">
        <v>0</v>
      </c>
      <c r="D66" s="22">
        <v>16.739999999999998</v>
      </c>
      <c r="E66" s="15"/>
      <c r="F66" s="15"/>
      <c r="G66" s="15"/>
      <c r="H66" s="15"/>
      <c r="I66" s="15"/>
      <c r="J66" s="15"/>
      <c r="K66" s="15"/>
      <c r="L66" s="15"/>
      <c r="M66" s="15"/>
      <c r="N66" s="30">
        <f t="shared" si="15"/>
        <v>16.739999999999998</v>
      </c>
    </row>
    <row r="67" spans="1:14" x14ac:dyDescent="0.2">
      <c r="A67" s="21" t="s">
        <v>111</v>
      </c>
      <c r="B67" s="22">
        <v>350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30">
        <f t="shared" si="15"/>
        <v>350</v>
      </c>
    </row>
    <row r="68" spans="1:14" x14ac:dyDescent="0.2">
      <c r="A68" s="21" t="s">
        <v>112</v>
      </c>
      <c r="B68" s="52">
        <f>SUM(B64:B67)</f>
        <v>430.67</v>
      </c>
      <c r="C68" s="52">
        <f t="shared" ref="C68:M68" si="17">SUM(C64:C67)</f>
        <v>23.88</v>
      </c>
      <c r="D68" s="52">
        <f t="shared" si="17"/>
        <v>1150.5</v>
      </c>
      <c r="E68" s="47">
        <f t="shared" si="17"/>
        <v>92.31</v>
      </c>
      <c r="F68" s="47">
        <f t="shared" si="17"/>
        <v>8.6509999999999998</v>
      </c>
      <c r="G68" s="47">
        <f t="shared" si="17"/>
        <v>8.6509999999999998</v>
      </c>
      <c r="H68" s="47">
        <f t="shared" si="17"/>
        <v>8.6509999999999998</v>
      </c>
      <c r="I68" s="47">
        <f t="shared" si="17"/>
        <v>56.650999999999996</v>
      </c>
      <c r="J68" s="47">
        <f t="shared" si="17"/>
        <v>10</v>
      </c>
      <c r="K68" s="47">
        <f t="shared" si="17"/>
        <v>8.6509999999999998</v>
      </c>
      <c r="L68" s="47">
        <f t="shared" si="17"/>
        <v>10.761000000000001</v>
      </c>
      <c r="M68" s="48">
        <f t="shared" si="17"/>
        <v>56.735399999999998</v>
      </c>
      <c r="N68" s="47">
        <f>SUM(N64:N67)</f>
        <v>1866.1114000000005</v>
      </c>
    </row>
    <row r="69" spans="1:14" x14ac:dyDescent="0.2">
      <c r="A69" s="1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1"/>
      <c r="N69" s="34"/>
    </row>
    <row r="70" spans="1:14" x14ac:dyDescent="0.2">
      <c r="A70" s="21" t="s">
        <v>33</v>
      </c>
      <c r="B70" s="22">
        <v>0</v>
      </c>
      <c r="C70" s="22">
        <v>0</v>
      </c>
      <c r="D70" s="22">
        <v>59</v>
      </c>
      <c r="E70" s="15">
        <v>59</v>
      </c>
      <c r="F70" s="15">
        <v>59</v>
      </c>
      <c r="G70" s="15">
        <f>3*-F70</f>
        <v>-177</v>
      </c>
      <c r="H70" s="15">
        <v>0</v>
      </c>
      <c r="I70" s="15">
        <v>0</v>
      </c>
      <c r="J70" s="15">
        <v>0</v>
      </c>
      <c r="K70" s="15">
        <v>343.75</v>
      </c>
      <c r="L70" s="15">
        <v>343.75</v>
      </c>
      <c r="M70" s="15">
        <v>343.75</v>
      </c>
      <c r="N70" s="30">
        <f>SUM(B70:M70)</f>
        <v>1031.25</v>
      </c>
    </row>
    <row r="71" spans="1:14" x14ac:dyDescent="0.2">
      <c r="A71" s="21" t="s">
        <v>34</v>
      </c>
      <c r="B71" s="28">
        <v>0</v>
      </c>
      <c r="C71" s="22">
        <v>0</v>
      </c>
      <c r="D71" s="28">
        <v>192.01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500</v>
      </c>
      <c r="K71" s="15">
        <v>0</v>
      </c>
      <c r="L71" s="15">
        <v>0</v>
      </c>
      <c r="M71" s="15">
        <v>0</v>
      </c>
      <c r="N71" s="30">
        <f>SUM(B71:M71)</f>
        <v>692.01</v>
      </c>
    </row>
    <row r="72" spans="1:14" x14ac:dyDescent="0.2">
      <c r="A72" s="21" t="s">
        <v>35</v>
      </c>
      <c r="B72" s="28">
        <v>87</v>
      </c>
      <c r="C72" s="22">
        <v>61</v>
      </c>
      <c r="D72" s="28">
        <v>117</v>
      </c>
      <c r="E72" s="15">
        <v>70</v>
      </c>
      <c r="F72" s="15">
        <v>21</v>
      </c>
      <c r="G72" s="15">
        <v>0</v>
      </c>
      <c r="H72" s="15">
        <v>0</v>
      </c>
      <c r="I72" s="35">
        <v>21</v>
      </c>
      <c r="J72" s="15">
        <v>0</v>
      </c>
      <c r="K72" s="35">
        <v>0</v>
      </c>
      <c r="L72" s="35">
        <v>0</v>
      </c>
      <c r="M72" s="16">
        <v>21</v>
      </c>
      <c r="N72" s="30">
        <f t="shared" si="15"/>
        <v>398</v>
      </c>
    </row>
    <row r="73" spans="1:14" ht="26.25" customHeight="1" x14ac:dyDescent="0.2">
      <c r="A73" s="62" t="s">
        <v>36</v>
      </c>
      <c r="B73" s="28">
        <v>611.77</v>
      </c>
      <c r="C73" s="22">
        <v>250</v>
      </c>
      <c r="D73" s="28">
        <v>20</v>
      </c>
      <c r="E73" s="35">
        <v>0</v>
      </c>
      <c r="F73" s="35">
        <v>1500</v>
      </c>
      <c r="G73" s="35">
        <v>0</v>
      </c>
      <c r="H73" s="35">
        <f>16*175</f>
        <v>2800</v>
      </c>
      <c r="I73" s="35">
        <f>16*175</f>
        <v>2800</v>
      </c>
      <c r="J73" s="15">
        <f>12*175</f>
        <v>2100</v>
      </c>
      <c r="K73" s="35">
        <f>30*175</f>
        <v>5250</v>
      </c>
      <c r="L73" s="35">
        <v>0</v>
      </c>
      <c r="M73" s="33">
        <v>0</v>
      </c>
      <c r="N73" s="30">
        <f t="shared" si="15"/>
        <v>15331.77</v>
      </c>
    </row>
    <row r="74" spans="1:14" x14ac:dyDescent="0.2">
      <c r="A74" s="21" t="s">
        <v>37</v>
      </c>
      <c r="B74" s="28">
        <v>9777.5400000000009</v>
      </c>
      <c r="C74" s="28">
        <v>5018</v>
      </c>
      <c r="D74" s="28">
        <v>2561.25</v>
      </c>
      <c r="E74" s="35">
        <v>250</v>
      </c>
      <c r="F74" s="35">
        <v>250</v>
      </c>
      <c r="G74" s="35">
        <f>3*1000</f>
        <v>3000</v>
      </c>
      <c r="H74" s="35">
        <f>2*1000</f>
        <v>2000</v>
      </c>
      <c r="I74" s="35">
        <f>4*1000</f>
        <v>4000</v>
      </c>
      <c r="J74" s="35">
        <f>2*1000</f>
        <v>2000</v>
      </c>
      <c r="K74" s="35">
        <f>1000+3200+500</f>
        <v>4700</v>
      </c>
      <c r="L74" s="35">
        <v>500</v>
      </c>
      <c r="M74" s="33">
        <v>8305.25</v>
      </c>
      <c r="N74" s="30">
        <f t="shared" si="15"/>
        <v>42362.04</v>
      </c>
    </row>
    <row r="75" spans="1:14" x14ac:dyDescent="0.2">
      <c r="A75" s="21" t="s">
        <v>84</v>
      </c>
      <c r="B75" s="22">
        <v>334.26</v>
      </c>
      <c r="C75" s="22">
        <v>425.68</v>
      </c>
      <c r="D75" s="22">
        <v>425.68</v>
      </c>
      <c r="E75" s="15">
        <v>425.68</v>
      </c>
      <c r="F75" s="15">
        <v>425.68</v>
      </c>
      <c r="G75" s="15">
        <v>425.68</v>
      </c>
      <c r="H75" s="15">
        <v>425.68</v>
      </c>
      <c r="I75" s="15">
        <v>425.68</v>
      </c>
      <c r="J75" s="15">
        <v>425.68</v>
      </c>
      <c r="K75" s="15">
        <v>425.68</v>
      </c>
      <c r="L75" s="15">
        <v>425.68</v>
      </c>
      <c r="M75" s="33">
        <v>425.68</v>
      </c>
      <c r="N75" s="30">
        <f t="shared" si="15"/>
        <v>5016.7400000000007</v>
      </c>
    </row>
    <row r="76" spans="1:14" x14ac:dyDescent="0.2">
      <c r="A76" s="21" t="s">
        <v>38</v>
      </c>
      <c r="B76" s="28">
        <v>120.71</v>
      </c>
      <c r="C76" s="28"/>
      <c r="D76" s="22"/>
      <c r="E76" s="35">
        <v>0</v>
      </c>
      <c r="F76" s="15">
        <v>0</v>
      </c>
      <c r="G76" s="35">
        <v>100</v>
      </c>
      <c r="H76" s="15">
        <v>0</v>
      </c>
      <c r="I76" s="35">
        <v>0</v>
      </c>
      <c r="J76" s="35">
        <v>100</v>
      </c>
      <c r="K76" s="35">
        <v>0</v>
      </c>
      <c r="L76" s="15">
        <v>0</v>
      </c>
      <c r="M76" s="33">
        <v>100</v>
      </c>
      <c r="N76" s="30">
        <f t="shared" si="15"/>
        <v>420.71</v>
      </c>
    </row>
    <row r="77" spans="1:14" x14ac:dyDescent="0.2">
      <c r="A77" s="13"/>
      <c r="B77" s="35"/>
      <c r="C77" s="35"/>
      <c r="D77" s="15"/>
      <c r="E77" s="35"/>
      <c r="F77" s="15"/>
      <c r="G77" s="35"/>
      <c r="H77" s="15"/>
      <c r="I77" s="35"/>
      <c r="J77" s="35"/>
      <c r="K77" s="35"/>
      <c r="L77" s="15"/>
      <c r="M77" s="33"/>
      <c r="N77" s="30"/>
    </row>
    <row r="78" spans="1:14" x14ac:dyDescent="0.2">
      <c r="A78" s="20" t="s">
        <v>39</v>
      </c>
      <c r="B78" s="53"/>
      <c r="C78" s="53"/>
      <c r="D78" s="53"/>
      <c r="E78" s="15"/>
      <c r="F78" s="15"/>
      <c r="G78" s="15"/>
      <c r="H78" s="15"/>
      <c r="I78" s="15"/>
      <c r="J78" s="15"/>
      <c r="K78" s="15"/>
      <c r="L78" s="15"/>
      <c r="M78" s="16"/>
      <c r="N78" s="30"/>
    </row>
    <row r="79" spans="1:14" x14ac:dyDescent="0.2">
      <c r="A79" s="60" t="s">
        <v>123</v>
      </c>
      <c r="B79" s="54">
        <v>12500</v>
      </c>
      <c r="C79" s="54">
        <v>12500</v>
      </c>
      <c r="D79" s="54">
        <f>12500+180+180</f>
        <v>12860</v>
      </c>
      <c r="E79" s="35">
        <v>12500</v>
      </c>
      <c r="F79" s="35">
        <v>12500</v>
      </c>
      <c r="G79" s="35">
        <v>12500</v>
      </c>
      <c r="H79" s="35">
        <v>12500</v>
      </c>
      <c r="I79" s="35">
        <v>12500</v>
      </c>
      <c r="J79" s="35">
        <v>12500</v>
      </c>
      <c r="K79" s="35">
        <v>12500</v>
      </c>
      <c r="L79" s="35">
        <v>12500</v>
      </c>
      <c r="M79" s="33">
        <v>12500</v>
      </c>
      <c r="N79" s="30">
        <f>SUM(B79:M79)</f>
        <v>150360</v>
      </c>
    </row>
    <row r="80" spans="1:14" x14ac:dyDescent="0.2">
      <c r="A80" s="60" t="s">
        <v>41</v>
      </c>
      <c r="B80" s="53"/>
      <c r="C80" s="53"/>
      <c r="D80" s="53"/>
      <c r="E80" s="35">
        <v>50</v>
      </c>
      <c r="F80" s="35">
        <v>0</v>
      </c>
      <c r="G80" s="35">
        <v>750</v>
      </c>
      <c r="H80" s="15">
        <v>3000</v>
      </c>
      <c r="I80" s="15">
        <v>3000</v>
      </c>
      <c r="J80" s="35">
        <v>3000</v>
      </c>
      <c r="K80" s="35" t="s">
        <v>122</v>
      </c>
      <c r="L80" s="35" t="s">
        <v>122</v>
      </c>
      <c r="M80" s="33" t="s">
        <v>122</v>
      </c>
      <c r="N80" s="30">
        <f>SUM(B80:M80)</f>
        <v>9800</v>
      </c>
    </row>
    <row r="81" spans="1:14" s="58" customFormat="1" x14ac:dyDescent="0.2">
      <c r="A81" s="60" t="s">
        <v>124</v>
      </c>
      <c r="B81" s="53"/>
      <c r="C81" s="53"/>
      <c r="D81" s="53"/>
      <c r="E81" s="35">
        <v>0</v>
      </c>
      <c r="F81" s="35">
        <v>0</v>
      </c>
      <c r="G81" s="35">
        <v>1500</v>
      </c>
      <c r="H81" s="15">
        <v>2500</v>
      </c>
      <c r="I81" s="15">
        <v>2500</v>
      </c>
      <c r="J81" s="15">
        <v>2500</v>
      </c>
      <c r="K81" s="35">
        <v>0</v>
      </c>
      <c r="L81" s="35">
        <v>0</v>
      </c>
      <c r="M81" s="33">
        <v>0</v>
      </c>
      <c r="N81" s="30">
        <f>SUM(B81:M81)</f>
        <v>9000</v>
      </c>
    </row>
    <row r="82" spans="1:14" x14ac:dyDescent="0.2">
      <c r="A82" s="20" t="s">
        <v>42</v>
      </c>
      <c r="B82" s="55">
        <f>SUM(B79:B81)</f>
        <v>12500</v>
      </c>
      <c r="C82" s="55">
        <f t="shared" ref="C82:M82" si="18">SUM(C79:C81)</f>
        <v>12500</v>
      </c>
      <c r="D82" s="55">
        <f t="shared" si="18"/>
        <v>12860</v>
      </c>
      <c r="E82" s="55">
        <f t="shared" si="18"/>
        <v>12550</v>
      </c>
      <c r="F82" s="55">
        <f t="shared" si="18"/>
        <v>12500</v>
      </c>
      <c r="G82" s="55">
        <f t="shared" si="18"/>
        <v>14750</v>
      </c>
      <c r="H82" s="55">
        <f t="shared" si="18"/>
        <v>18000</v>
      </c>
      <c r="I82" s="55">
        <f t="shared" si="18"/>
        <v>18000</v>
      </c>
      <c r="J82" s="55">
        <f t="shared" si="18"/>
        <v>18000</v>
      </c>
      <c r="K82" s="55">
        <f t="shared" si="18"/>
        <v>12500</v>
      </c>
      <c r="L82" s="55">
        <f t="shared" si="18"/>
        <v>12500</v>
      </c>
      <c r="M82" s="55">
        <f t="shared" si="18"/>
        <v>12500</v>
      </c>
      <c r="N82" s="47">
        <f>SUM(N79:N81)</f>
        <v>169160</v>
      </c>
    </row>
    <row r="83" spans="1:14" x14ac:dyDescent="0.2">
      <c r="A83" s="13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1"/>
      <c r="N83" s="34"/>
    </row>
    <row r="84" spans="1:14" x14ac:dyDescent="0.2">
      <c r="A84" s="21" t="s">
        <v>94</v>
      </c>
      <c r="B84" s="22">
        <v>304.25</v>
      </c>
      <c r="C84" s="28"/>
      <c r="D84" s="22">
        <v>491</v>
      </c>
      <c r="E84" s="35">
        <v>304.25</v>
      </c>
      <c r="F84" s="15"/>
      <c r="G84" s="15"/>
      <c r="H84" s="35">
        <v>304.25</v>
      </c>
      <c r="I84" s="15"/>
      <c r="J84" s="15"/>
      <c r="K84" s="35">
        <v>304.25</v>
      </c>
      <c r="L84" s="15"/>
      <c r="M84" s="16"/>
      <c r="N84" s="30">
        <f>SUM(B84:M84)</f>
        <v>1708</v>
      </c>
    </row>
    <row r="85" spans="1:14" x14ac:dyDescent="0.2">
      <c r="A85" s="21" t="s">
        <v>43</v>
      </c>
      <c r="B85" s="28">
        <v>581.36</v>
      </c>
      <c r="C85" s="28">
        <v>20.95</v>
      </c>
      <c r="D85" s="22"/>
      <c r="E85" s="15"/>
      <c r="F85" s="15"/>
      <c r="G85" s="15"/>
      <c r="H85" s="35">
        <v>240</v>
      </c>
      <c r="I85" s="15"/>
      <c r="J85" s="15"/>
      <c r="K85" s="15"/>
      <c r="L85" s="15"/>
      <c r="M85" s="16"/>
      <c r="N85" s="30">
        <f t="shared" ref="N85:N95" si="19">SUM(B85:M85)</f>
        <v>842.31000000000006</v>
      </c>
    </row>
    <row r="86" spans="1:14" x14ac:dyDescent="0.2">
      <c r="A86" s="21" t="s">
        <v>44</v>
      </c>
      <c r="B86" s="28">
        <v>250</v>
      </c>
      <c r="C86" s="28">
        <v>1117.1600000000001</v>
      </c>
      <c r="D86" s="28">
        <v>590</v>
      </c>
      <c r="E86" s="15">
        <v>300</v>
      </c>
      <c r="F86" s="35">
        <v>500</v>
      </c>
      <c r="G86" s="35">
        <v>1000</v>
      </c>
      <c r="H86" s="35">
        <v>1000</v>
      </c>
      <c r="I86" s="15">
        <v>0</v>
      </c>
      <c r="J86" s="15">
        <v>0</v>
      </c>
      <c r="K86" s="15">
        <v>0</v>
      </c>
      <c r="L86" s="15">
        <v>0</v>
      </c>
      <c r="M86" s="33">
        <v>1000</v>
      </c>
      <c r="N86" s="30">
        <f t="shared" si="19"/>
        <v>5757.16</v>
      </c>
    </row>
    <row r="87" spans="1:14" x14ac:dyDescent="0.2">
      <c r="A87" s="21" t="s">
        <v>45</v>
      </c>
      <c r="B87" s="28">
        <v>118.47</v>
      </c>
      <c r="C87" s="28">
        <v>191.17</v>
      </c>
      <c r="D87" s="28">
        <v>25.38</v>
      </c>
      <c r="E87" s="35">
        <v>130.1</v>
      </c>
      <c r="F87" s="35">
        <v>482.4</v>
      </c>
      <c r="G87" s="35">
        <v>76.92</v>
      </c>
      <c r="H87" s="15"/>
      <c r="I87" s="15"/>
      <c r="J87" s="35">
        <v>37.299999999999997</v>
      </c>
      <c r="K87" s="35">
        <v>30.84</v>
      </c>
      <c r="L87" s="35">
        <v>82</v>
      </c>
      <c r="M87" s="33">
        <v>124.37</v>
      </c>
      <c r="N87" s="30">
        <f t="shared" si="19"/>
        <v>1298.9499999999998</v>
      </c>
    </row>
    <row r="88" spans="1:14" x14ac:dyDescent="0.2">
      <c r="A88" s="21" t="s">
        <v>46</v>
      </c>
      <c r="B88" s="28">
        <v>137.6</v>
      </c>
      <c r="C88" s="28">
        <v>140.15</v>
      </c>
      <c r="D88" s="28">
        <v>194.66</v>
      </c>
      <c r="E88" s="35">
        <v>200</v>
      </c>
      <c r="F88" s="35">
        <v>200</v>
      </c>
      <c r="G88" s="35">
        <v>200</v>
      </c>
      <c r="H88" s="35">
        <v>200</v>
      </c>
      <c r="I88" s="35">
        <v>200</v>
      </c>
      <c r="J88" s="35">
        <v>200</v>
      </c>
      <c r="K88" s="35">
        <v>200</v>
      </c>
      <c r="L88" s="35">
        <v>200</v>
      </c>
      <c r="M88" s="35">
        <v>200</v>
      </c>
      <c r="N88" s="30">
        <f t="shared" si="19"/>
        <v>2272.41</v>
      </c>
    </row>
    <row r="89" spans="1:14" x14ac:dyDescent="0.2">
      <c r="A89" s="21" t="s">
        <v>47</v>
      </c>
      <c r="B89" s="28">
        <v>21.3</v>
      </c>
      <c r="C89" s="28"/>
      <c r="D89" s="28">
        <v>364.81</v>
      </c>
      <c r="E89" s="35">
        <v>50</v>
      </c>
      <c r="F89" s="35">
        <v>50</v>
      </c>
      <c r="G89" s="35">
        <v>50</v>
      </c>
      <c r="H89" s="35">
        <v>50</v>
      </c>
      <c r="I89" s="35">
        <v>50</v>
      </c>
      <c r="J89" s="35">
        <v>50</v>
      </c>
      <c r="K89" s="35">
        <v>50</v>
      </c>
      <c r="L89" s="35">
        <v>50</v>
      </c>
      <c r="M89" s="35">
        <v>50</v>
      </c>
      <c r="N89" s="30">
        <f t="shared" si="19"/>
        <v>836.11</v>
      </c>
    </row>
    <row r="90" spans="1:14" x14ac:dyDescent="0.2">
      <c r="A90" s="21" t="s">
        <v>48</v>
      </c>
      <c r="B90" s="35">
        <v>34195.360000000001</v>
      </c>
      <c r="C90" s="35">
        <v>15456.1</v>
      </c>
      <c r="D90" s="35">
        <v>16587.72</v>
      </c>
      <c r="E90" s="35">
        <f>5465.15-2177.15+1538.46+1538.46+2307.69+2037.69</f>
        <v>10710.3</v>
      </c>
      <c r="F90" s="35">
        <f>9090.55-1421.15-1421.15+1538.46+1538.46+2307.69+2037.69</f>
        <v>13670.550000000001</v>
      </c>
      <c r="G90" s="35">
        <f>24554.73-1424.15-1424.15+1538.46+1538.46+2307.69+2037.69</f>
        <v>29128.729999999992</v>
      </c>
      <c r="H90" s="35">
        <f>3463.97-1421.15-1421.15+1538.46+1538.46+2307.69+2037.69+20000</f>
        <v>28043.97</v>
      </c>
      <c r="I90" s="35">
        <f>21138.15+2307.69+3000</f>
        <v>26445.84</v>
      </c>
      <c r="J90" s="35">
        <f>21586.03+8000</f>
        <v>29586.03</v>
      </c>
      <c r="K90" s="35">
        <v>15000</v>
      </c>
      <c r="L90" s="35">
        <v>15003.43</v>
      </c>
      <c r="M90" s="33">
        <v>12466.43</v>
      </c>
      <c r="N90" s="30">
        <f>SUM(B90:M90)</f>
        <v>246294.45999999996</v>
      </c>
    </row>
    <row r="91" spans="1:14" x14ac:dyDescent="0.2">
      <c r="A91" s="1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3"/>
      <c r="N91" s="30"/>
    </row>
    <row r="92" spans="1:14" x14ac:dyDescent="0.2">
      <c r="A92" s="21" t="s">
        <v>49</v>
      </c>
      <c r="B92" s="22"/>
      <c r="C92" s="28"/>
      <c r="D92" s="28"/>
      <c r="E92" s="35"/>
      <c r="F92" s="35"/>
      <c r="G92" s="35"/>
      <c r="H92" s="35"/>
      <c r="I92" s="35"/>
      <c r="J92" s="35"/>
      <c r="K92" s="35"/>
      <c r="L92" s="35"/>
      <c r="M92" s="33"/>
      <c r="N92" s="30"/>
    </row>
    <row r="93" spans="1:14" x14ac:dyDescent="0.2">
      <c r="A93" s="21" t="s">
        <v>50</v>
      </c>
      <c r="B93" s="28">
        <v>830.75</v>
      </c>
      <c r="C93" s="28">
        <v>830.75</v>
      </c>
      <c r="D93" s="28">
        <v>830.75</v>
      </c>
      <c r="E93" s="35">
        <v>830.75</v>
      </c>
      <c r="F93" s="35">
        <v>830.75</v>
      </c>
      <c r="G93" s="35">
        <v>830.75</v>
      </c>
      <c r="H93" s="35">
        <v>830.75</v>
      </c>
      <c r="I93" s="35">
        <v>830.75</v>
      </c>
      <c r="J93" s="35">
        <v>830.75</v>
      </c>
      <c r="K93" s="35">
        <v>830.75</v>
      </c>
      <c r="L93" s="35">
        <v>830.75</v>
      </c>
      <c r="M93" s="33">
        <v>860.75</v>
      </c>
      <c r="N93" s="30">
        <f>SUM(B93:M93)</f>
        <v>9999</v>
      </c>
    </row>
    <row r="94" spans="1:14" x14ac:dyDescent="0.2">
      <c r="A94" s="21" t="s">
        <v>51</v>
      </c>
      <c r="B94" s="22">
        <v>70</v>
      </c>
      <c r="C94" s="22">
        <v>70</v>
      </c>
      <c r="D94" s="28">
        <v>70</v>
      </c>
      <c r="E94" s="35">
        <v>70</v>
      </c>
      <c r="F94" s="35">
        <v>70</v>
      </c>
      <c r="G94" s="35">
        <v>70</v>
      </c>
      <c r="H94" s="35">
        <v>70</v>
      </c>
      <c r="I94" s="35">
        <v>70</v>
      </c>
      <c r="J94" s="35">
        <v>70</v>
      </c>
      <c r="K94" s="35">
        <v>70</v>
      </c>
      <c r="L94" s="35">
        <v>70</v>
      </c>
      <c r="M94" s="33">
        <v>70</v>
      </c>
      <c r="N94" s="30">
        <f t="shared" si="19"/>
        <v>840</v>
      </c>
    </row>
    <row r="95" spans="1:14" x14ac:dyDescent="0.2">
      <c r="A95" s="21" t="s">
        <v>52</v>
      </c>
      <c r="B95" s="22">
        <v>77</v>
      </c>
      <c r="C95" s="22">
        <v>77</v>
      </c>
      <c r="D95" s="28">
        <v>77</v>
      </c>
      <c r="E95" s="35">
        <v>77</v>
      </c>
      <c r="F95" s="35">
        <v>77</v>
      </c>
      <c r="G95" s="35">
        <v>77</v>
      </c>
      <c r="H95" s="35">
        <v>77</v>
      </c>
      <c r="I95" s="35">
        <v>77</v>
      </c>
      <c r="J95" s="35">
        <v>77</v>
      </c>
      <c r="K95" s="35">
        <v>77</v>
      </c>
      <c r="L95" s="35">
        <v>77</v>
      </c>
      <c r="M95" s="33">
        <v>77</v>
      </c>
      <c r="N95" s="30">
        <f t="shared" si="19"/>
        <v>924</v>
      </c>
    </row>
    <row r="96" spans="1:14" x14ac:dyDescent="0.2">
      <c r="A96" s="21" t="s">
        <v>53</v>
      </c>
      <c r="B96" s="52">
        <f>SUM(B93:B95)</f>
        <v>977.75</v>
      </c>
      <c r="C96" s="52">
        <f t="shared" ref="C96:M96" si="20">SUM(C93:C95)</f>
        <v>977.75</v>
      </c>
      <c r="D96" s="52">
        <f t="shared" si="20"/>
        <v>977.75</v>
      </c>
      <c r="E96" s="47">
        <f t="shared" si="20"/>
        <v>977.75</v>
      </c>
      <c r="F96" s="47">
        <f t="shared" si="20"/>
        <v>977.75</v>
      </c>
      <c r="G96" s="47">
        <f t="shared" si="20"/>
        <v>977.75</v>
      </c>
      <c r="H96" s="47">
        <f t="shared" si="20"/>
        <v>977.75</v>
      </c>
      <c r="I96" s="47">
        <f t="shared" si="20"/>
        <v>977.75</v>
      </c>
      <c r="J96" s="47">
        <f t="shared" si="20"/>
        <v>977.75</v>
      </c>
      <c r="K96" s="47">
        <f t="shared" si="20"/>
        <v>977.75</v>
      </c>
      <c r="L96" s="47">
        <f t="shared" si="20"/>
        <v>977.75</v>
      </c>
      <c r="M96" s="48">
        <f t="shared" si="20"/>
        <v>1007.75</v>
      </c>
      <c r="N96" s="47">
        <f>SUM(N93:N95)</f>
        <v>11763</v>
      </c>
    </row>
    <row r="97" spans="1:14" x14ac:dyDescent="0.2">
      <c r="A97" s="13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1"/>
      <c r="N97" s="34"/>
    </row>
    <row r="98" spans="1:14" x14ac:dyDescent="0.2">
      <c r="A98" s="21" t="s">
        <v>54</v>
      </c>
      <c r="B98" s="22"/>
      <c r="C98" s="22"/>
      <c r="D98" s="22"/>
      <c r="E98" s="15"/>
      <c r="F98" s="15"/>
      <c r="G98" s="15"/>
      <c r="H98" s="15"/>
      <c r="I98" s="15"/>
      <c r="J98" s="15"/>
      <c r="K98" s="15"/>
      <c r="L98" s="15"/>
      <c r="M98" s="16"/>
      <c r="N98" s="30"/>
    </row>
    <row r="99" spans="1:14" x14ac:dyDescent="0.2">
      <c r="A99" s="21" t="s">
        <v>55</v>
      </c>
      <c r="B99" s="28">
        <v>3589.91</v>
      </c>
      <c r="C99" s="28">
        <v>1872.38</v>
      </c>
      <c r="D99" s="28">
        <v>1952.09</v>
      </c>
      <c r="E99" s="30">
        <f>(E103+E90)*0.0765</f>
        <v>2196.3379500000001</v>
      </c>
      <c r="F99" s="30">
        <f t="shared" ref="F99:M99" si="21">(F103+F90)*0.0765</f>
        <v>1657.7970750000002</v>
      </c>
      <c r="G99" s="30">
        <f t="shared" si="21"/>
        <v>2840.3478449999998</v>
      </c>
      <c r="H99" s="30">
        <f t="shared" si="21"/>
        <v>3063.3637050000002</v>
      </c>
      <c r="I99" s="30">
        <f t="shared" si="21"/>
        <v>2635.1067599999997</v>
      </c>
      <c r="J99" s="30">
        <f t="shared" si="21"/>
        <v>2875.331295</v>
      </c>
      <c r="K99" s="30">
        <f t="shared" si="21"/>
        <v>1759.5</v>
      </c>
      <c r="L99" s="30">
        <f t="shared" si="21"/>
        <v>1759.762395</v>
      </c>
      <c r="M99" s="33">
        <f t="shared" si="21"/>
        <v>1565.6818949999999</v>
      </c>
      <c r="N99" s="30">
        <f>SUM(B99:M99)</f>
        <v>27767.608920000002</v>
      </c>
    </row>
    <row r="100" spans="1:14" x14ac:dyDescent="0.2">
      <c r="A100" s="21" t="s">
        <v>56</v>
      </c>
      <c r="B100" s="28">
        <v>326.98</v>
      </c>
      <c r="C100" s="28">
        <v>107.05</v>
      </c>
      <c r="D100" s="28">
        <v>132.79</v>
      </c>
      <c r="E100" s="35">
        <v>362.93</v>
      </c>
      <c r="F100" s="35">
        <v>258.69</v>
      </c>
      <c r="G100" s="35">
        <v>559.41999999999996</v>
      </c>
      <c r="H100" s="35">
        <v>250</v>
      </c>
      <c r="I100" s="35">
        <v>444.54</v>
      </c>
      <c r="J100" s="35">
        <v>441.75</v>
      </c>
      <c r="K100" s="35">
        <v>386.37</v>
      </c>
      <c r="L100" s="35">
        <v>148.76</v>
      </c>
      <c r="M100" s="33">
        <v>107.67</v>
      </c>
      <c r="N100" s="30">
        <f>SUM(B100:M100)</f>
        <v>3526.95</v>
      </c>
    </row>
    <row r="101" spans="1:14" x14ac:dyDescent="0.2">
      <c r="A101" s="21" t="s">
        <v>57</v>
      </c>
      <c r="B101" s="52">
        <f>SUM(B99:B100)</f>
        <v>3916.89</v>
      </c>
      <c r="C101" s="52">
        <f t="shared" ref="C101:M101" si="22">SUM(C99:C100)</f>
        <v>1979.43</v>
      </c>
      <c r="D101" s="52">
        <f>SUM(D99:D100)</f>
        <v>2084.88</v>
      </c>
      <c r="E101" s="47">
        <f t="shared" si="22"/>
        <v>2559.2679499999999</v>
      </c>
      <c r="F101" s="47">
        <f t="shared" si="22"/>
        <v>1916.4870750000002</v>
      </c>
      <c r="G101" s="47">
        <f t="shared" si="22"/>
        <v>3399.7678449999999</v>
      </c>
      <c r="H101" s="47">
        <f t="shared" si="22"/>
        <v>3313.3637050000002</v>
      </c>
      <c r="I101" s="47">
        <f t="shared" si="22"/>
        <v>3079.6467599999996</v>
      </c>
      <c r="J101" s="47">
        <f t="shared" si="22"/>
        <v>3317.081295</v>
      </c>
      <c r="K101" s="47">
        <f t="shared" si="22"/>
        <v>2145.87</v>
      </c>
      <c r="L101" s="47">
        <f t="shared" si="22"/>
        <v>1908.522395</v>
      </c>
      <c r="M101" s="48">
        <f t="shared" si="22"/>
        <v>1673.351895</v>
      </c>
      <c r="N101" s="47">
        <f>SUM(N99:N100)</f>
        <v>31294.558920000003</v>
      </c>
    </row>
    <row r="102" spans="1:14" x14ac:dyDescent="0.2">
      <c r="A102" s="13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1"/>
      <c r="N102" s="34"/>
    </row>
    <row r="103" spans="1:14" x14ac:dyDescent="0.2">
      <c r="A103" s="21" t="s">
        <v>58</v>
      </c>
      <c r="B103" s="28">
        <v>12000</v>
      </c>
      <c r="C103" s="28">
        <v>8000</v>
      </c>
      <c r="D103" s="28">
        <v>8000</v>
      </c>
      <c r="E103" s="35">
        <f>8000+10000</f>
        <v>18000</v>
      </c>
      <c r="F103" s="35">
        <v>8000</v>
      </c>
      <c r="G103" s="35">
        <v>8000</v>
      </c>
      <c r="H103" s="35">
        <v>12000</v>
      </c>
      <c r="I103" s="35">
        <v>8000</v>
      </c>
      <c r="J103" s="35">
        <v>8000</v>
      </c>
      <c r="K103" s="35">
        <v>8000</v>
      </c>
      <c r="L103" s="35">
        <v>8000</v>
      </c>
      <c r="M103" s="33">
        <v>8000</v>
      </c>
      <c r="N103" s="30">
        <f>SUM(B103:M103)</f>
        <v>114000</v>
      </c>
    </row>
    <row r="104" spans="1:14" x14ac:dyDescent="0.2">
      <c r="A104" s="21" t="s">
        <v>59</v>
      </c>
      <c r="B104" s="22">
        <v>731.25</v>
      </c>
      <c r="C104" s="28">
        <v>1020</v>
      </c>
      <c r="D104" s="28">
        <v>930</v>
      </c>
      <c r="E104" s="35">
        <v>650</v>
      </c>
      <c r="F104" s="35">
        <v>1000</v>
      </c>
      <c r="G104" s="15">
        <v>500</v>
      </c>
      <c r="H104" s="35">
        <v>0</v>
      </c>
      <c r="I104" s="35">
        <v>0</v>
      </c>
      <c r="J104" s="35">
        <v>500</v>
      </c>
      <c r="K104" s="15">
        <v>500</v>
      </c>
      <c r="L104" s="35">
        <v>250</v>
      </c>
      <c r="M104" s="33">
        <v>500</v>
      </c>
      <c r="N104" s="30">
        <f t="shared" ref="N104" si="23">SUM(B104:M104)</f>
        <v>6581.25</v>
      </c>
    </row>
    <row r="105" spans="1:14" x14ac:dyDescent="0.2">
      <c r="A105" s="21" t="s">
        <v>60</v>
      </c>
      <c r="B105" s="52">
        <f t="shared" ref="B105:K105" si="24">SUM(B103:B104)</f>
        <v>12731.25</v>
      </c>
      <c r="C105" s="52">
        <f t="shared" si="24"/>
        <v>9020</v>
      </c>
      <c r="D105" s="52">
        <f t="shared" si="24"/>
        <v>8930</v>
      </c>
      <c r="E105" s="47">
        <f t="shared" si="24"/>
        <v>18650</v>
      </c>
      <c r="F105" s="47">
        <f t="shared" si="24"/>
        <v>9000</v>
      </c>
      <c r="G105" s="47">
        <f t="shared" si="24"/>
        <v>8500</v>
      </c>
      <c r="H105" s="47">
        <f t="shared" si="24"/>
        <v>12000</v>
      </c>
      <c r="I105" s="47">
        <f t="shared" si="24"/>
        <v>8000</v>
      </c>
      <c r="J105" s="47">
        <f t="shared" si="24"/>
        <v>8500</v>
      </c>
      <c r="K105" s="47">
        <f t="shared" si="24"/>
        <v>8500</v>
      </c>
      <c r="L105" s="47">
        <f>SUM(L103:L104)</f>
        <v>8250</v>
      </c>
      <c r="M105" s="48">
        <f>SUM(M103:M104)</f>
        <v>8500</v>
      </c>
      <c r="N105" s="47">
        <f>SUM(N103:N104)</f>
        <v>120581.25</v>
      </c>
    </row>
    <row r="106" spans="1:14" x14ac:dyDescent="0.2">
      <c r="A106" s="13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1"/>
      <c r="N106" s="34"/>
    </row>
    <row r="107" spans="1:14" x14ac:dyDescent="0.2">
      <c r="A107" s="21" t="s">
        <v>61</v>
      </c>
      <c r="B107" s="28">
        <v>550</v>
      </c>
      <c r="C107" s="28">
        <v>625</v>
      </c>
      <c r="D107" s="28">
        <v>625</v>
      </c>
      <c r="E107" s="35">
        <f>625+400+350</f>
        <v>1375</v>
      </c>
      <c r="F107" s="35">
        <f>625+1500</f>
        <v>2125</v>
      </c>
      <c r="G107" s="35">
        <f>625+2500+1050</f>
        <v>4175</v>
      </c>
      <c r="H107" s="35">
        <v>625</v>
      </c>
      <c r="I107" s="35">
        <v>625</v>
      </c>
      <c r="J107" s="35">
        <v>625</v>
      </c>
      <c r="K107" s="35">
        <v>625</v>
      </c>
      <c r="L107" s="35">
        <v>625</v>
      </c>
      <c r="M107" s="33">
        <v>625</v>
      </c>
      <c r="N107" s="30">
        <f>SUM(B107:M107)</f>
        <v>13225</v>
      </c>
    </row>
    <row r="108" spans="1:14" x14ac:dyDescent="0.2">
      <c r="A108" s="21" t="s">
        <v>62</v>
      </c>
      <c r="B108" s="22">
        <v>153.69999999999999</v>
      </c>
      <c r="C108" s="28"/>
      <c r="D108" s="28">
        <v>210</v>
      </c>
      <c r="E108" s="35">
        <v>80</v>
      </c>
      <c r="F108" s="35">
        <v>80</v>
      </c>
      <c r="G108" s="35">
        <v>80</v>
      </c>
      <c r="H108" s="35">
        <v>80</v>
      </c>
      <c r="I108" s="35">
        <v>80</v>
      </c>
      <c r="J108" s="35">
        <v>80</v>
      </c>
      <c r="K108" s="35">
        <v>80</v>
      </c>
      <c r="L108" s="35">
        <f>80+500</f>
        <v>580</v>
      </c>
      <c r="M108" s="35">
        <v>80</v>
      </c>
      <c r="N108" s="30">
        <f t="shared" ref="N108:N119" si="25">SUM(B108:M108)</f>
        <v>1583.7</v>
      </c>
    </row>
    <row r="109" spans="1:14" x14ac:dyDescent="0.2">
      <c r="A109" s="21" t="s">
        <v>63</v>
      </c>
      <c r="B109" s="28">
        <v>293.44</v>
      </c>
      <c r="C109" s="28">
        <v>634.11</v>
      </c>
      <c r="D109" s="28">
        <v>648.41</v>
      </c>
      <c r="E109" s="35">
        <v>200</v>
      </c>
      <c r="F109" s="35">
        <v>200</v>
      </c>
      <c r="G109" s="35">
        <v>200</v>
      </c>
      <c r="H109" s="35">
        <v>200</v>
      </c>
      <c r="I109" s="35">
        <v>200</v>
      </c>
      <c r="J109" s="35">
        <v>200</v>
      </c>
      <c r="K109" s="35">
        <v>200</v>
      </c>
      <c r="L109" s="35">
        <v>200</v>
      </c>
      <c r="M109" s="35">
        <v>200</v>
      </c>
      <c r="N109" s="30">
        <f t="shared" si="25"/>
        <v>3375.96</v>
      </c>
    </row>
    <row r="110" spans="1:14" x14ac:dyDescent="0.2">
      <c r="A110" s="21" t="s">
        <v>64</v>
      </c>
      <c r="B110" s="28">
        <v>46.58</v>
      </c>
      <c r="C110" s="28">
        <v>82.8</v>
      </c>
      <c r="D110" s="28">
        <v>35.08</v>
      </c>
      <c r="E110" s="35">
        <v>100</v>
      </c>
      <c r="F110" s="35">
        <v>100</v>
      </c>
      <c r="G110" s="35">
        <v>100</v>
      </c>
      <c r="H110" s="35">
        <v>100</v>
      </c>
      <c r="I110" s="35">
        <v>100</v>
      </c>
      <c r="J110" s="35">
        <v>100</v>
      </c>
      <c r="K110" s="35">
        <f>100+350</f>
        <v>450</v>
      </c>
      <c r="L110" s="35">
        <v>100</v>
      </c>
      <c r="M110" s="35">
        <v>100</v>
      </c>
      <c r="N110" s="30">
        <f t="shared" si="25"/>
        <v>1414.46</v>
      </c>
    </row>
    <row r="111" spans="1:14" x14ac:dyDescent="0.2">
      <c r="A111" s="21" t="s">
        <v>65</v>
      </c>
      <c r="B111" s="28">
        <v>577.33000000000004</v>
      </c>
      <c r="C111" s="28">
        <v>577.33000000000004</v>
      </c>
      <c r="D111" s="28">
        <v>577.33000000000004</v>
      </c>
      <c r="E111" s="35">
        <v>577.33000000000004</v>
      </c>
      <c r="F111" s="35">
        <v>577.33000000000004</v>
      </c>
      <c r="G111" s="35">
        <v>577.33000000000004</v>
      </c>
      <c r="H111" s="35">
        <v>577.33000000000004</v>
      </c>
      <c r="I111" s="35">
        <v>577.33000000000004</v>
      </c>
      <c r="J111" s="35">
        <v>577.33000000000004</v>
      </c>
      <c r="K111" s="35">
        <v>577.33000000000004</v>
      </c>
      <c r="L111" s="35">
        <v>577.33000000000004</v>
      </c>
      <c r="M111" s="33">
        <v>577.33000000000004</v>
      </c>
      <c r="N111" s="30">
        <f t="shared" si="25"/>
        <v>6927.96</v>
      </c>
    </row>
    <row r="112" spans="1:14" x14ac:dyDescent="0.2">
      <c r="A112" s="21" t="s">
        <v>66</v>
      </c>
      <c r="B112" s="28"/>
      <c r="C112" s="28">
        <v>666</v>
      </c>
      <c r="D112" s="28">
        <v>295</v>
      </c>
      <c r="E112" s="15">
        <v>350</v>
      </c>
      <c r="F112" s="15">
        <v>750</v>
      </c>
      <c r="G112" s="15">
        <v>1000</v>
      </c>
      <c r="H112" s="15">
        <v>50</v>
      </c>
      <c r="I112" s="35">
        <v>200</v>
      </c>
      <c r="J112" s="15">
        <v>500</v>
      </c>
      <c r="K112" s="35">
        <v>750</v>
      </c>
      <c r="L112" s="35">
        <v>350</v>
      </c>
      <c r="M112" s="16">
        <v>500</v>
      </c>
      <c r="N112" s="30">
        <f t="shared" si="25"/>
        <v>5411</v>
      </c>
    </row>
    <row r="113" spans="1:14" x14ac:dyDescent="0.2">
      <c r="A113" s="21" t="s">
        <v>67</v>
      </c>
      <c r="B113" s="28">
        <v>3108.3</v>
      </c>
      <c r="C113" s="28">
        <v>1867.68</v>
      </c>
      <c r="D113" s="28">
        <v>321.75</v>
      </c>
      <c r="E113" s="35">
        <v>1000</v>
      </c>
      <c r="F113" s="35">
        <v>4000</v>
      </c>
      <c r="G113" s="35">
        <v>3500</v>
      </c>
      <c r="H113" s="15">
        <v>500</v>
      </c>
      <c r="I113" s="35">
        <v>500</v>
      </c>
      <c r="J113" s="35">
        <v>2500</v>
      </c>
      <c r="K113" s="35">
        <v>1500</v>
      </c>
      <c r="L113" s="35">
        <v>1200</v>
      </c>
      <c r="M113" s="33">
        <v>2000</v>
      </c>
      <c r="N113" s="30">
        <f t="shared" si="25"/>
        <v>21997.73</v>
      </c>
    </row>
    <row r="114" spans="1:14" x14ac:dyDescent="0.2">
      <c r="A114" s="21" t="s">
        <v>68</v>
      </c>
      <c r="B114" s="22"/>
      <c r="C114" s="28">
        <v>99.99</v>
      </c>
      <c r="D114" s="22"/>
      <c r="E114" s="15">
        <v>0</v>
      </c>
      <c r="F114" s="35">
        <v>0</v>
      </c>
      <c r="G114" s="35">
        <v>1000</v>
      </c>
      <c r="H114" s="15">
        <v>6000</v>
      </c>
      <c r="I114" s="15">
        <v>17000</v>
      </c>
      <c r="J114" s="35">
        <v>10000</v>
      </c>
      <c r="K114" s="35">
        <v>6000</v>
      </c>
      <c r="L114" s="35">
        <v>500</v>
      </c>
      <c r="M114" s="33" t="s">
        <v>122</v>
      </c>
      <c r="N114" s="30">
        <f t="shared" si="25"/>
        <v>40599.99</v>
      </c>
    </row>
    <row r="115" spans="1:14" x14ac:dyDescent="0.2">
      <c r="A115" s="21" t="s">
        <v>69</v>
      </c>
      <c r="B115" s="22"/>
      <c r="C115" s="28"/>
      <c r="D115" s="28">
        <v>54.88</v>
      </c>
      <c r="E115" s="15"/>
      <c r="F115" s="35">
        <v>32.409999999999997</v>
      </c>
      <c r="G115" s="35">
        <v>31.25</v>
      </c>
      <c r="H115" s="15"/>
      <c r="I115" s="35">
        <v>11.91</v>
      </c>
      <c r="J115" s="15"/>
      <c r="K115" s="35">
        <v>18.86</v>
      </c>
      <c r="L115" s="15"/>
      <c r="M115" s="16"/>
      <c r="N115" s="30">
        <f t="shared" si="25"/>
        <v>149.31</v>
      </c>
    </row>
    <row r="116" spans="1:14" x14ac:dyDescent="0.2">
      <c r="A116" s="21" t="s">
        <v>70</v>
      </c>
      <c r="B116" s="28">
        <v>21600</v>
      </c>
      <c r="C116" s="22">
        <v>-3000</v>
      </c>
      <c r="D116" s="28"/>
      <c r="E116" s="35" t="s">
        <v>122</v>
      </c>
      <c r="F116" s="35" t="s">
        <v>122</v>
      </c>
      <c r="G116" s="15"/>
      <c r="H116" s="15"/>
      <c r="I116" s="35">
        <v>7000</v>
      </c>
      <c r="J116" s="15"/>
      <c r="K116" s="15"/>
      <c r="L116" s="15"/>
      <c r="M116" s="16"/>
      <c r="N116" s="30">
        <f t="shared" si="25"/>
        <v>25600</v>
      </c>
    </row>
    <row r="117" spans="1:14" x14ac:dyDescent="0.2">
      <c r="A117" s="21" t="s">
        <v>71</v>
      </c>
      <c r="B117" s="22">
        <v>153.65</v>
      </c>
      <c r="C117" s="28">
        <v>153.65</v>
      </c>
      <c r="D117" s="28">
        <v>159.13999999999999</v>
      </c>
      <c r="E117" s="35">
        <v>159.13999999999999</v>
      </c>
      <c r="F117" s="35">
        <v>159.13999999999999</v>
      </c>
      <c r="G117" s="35">
        <v>159.13999999999999</v>
      </c>
      <c r="H117" s="35">
        <v>159.13999999999999</v>
      </c>
      <c r="I117" s="35">
        <v>159.13999999999999</v>
      </c>
      <c r="J117" s="35">
        <v>159.13999999999999</v>
      </c>
      <c r="K117" s="35">
        <v>159.13999999999999</v>
      </c>
      <c r="L117" s="35">
        <v>159.13999999999999</v>
      </c>
      <c r="M117" s="33">
        <v>159.13999999999999</v>
      </c>
      <c r="N117" s="30">
        <f t="shared" si="25"/>
        <v>1898.6999999999994</v>
      </c>
    </row>
    <row r="118" spans="1:14" x14ac:dyDescent="0.2">
      <c r="A118" s="21" t="s">
        <v>72</v>
      </c>
      <c r="B118" s="28"/>
      <c r="C118" s="28"/>
      <c r="D118" s="28">
        <v>126</v>
      </c>
      <c r="E118" s="35">
        <v>45.05</v>
      </c>
      <c r="F118" s="35">
        <v>6.29</v>
      </c>
      <c r="G118" s="35">
        <v>221.2</v>
      </c>
      <c r="H118" s="15">
        <v>360</v>
      </c>
      <c r="I118" s="35">
        <v>360</v>
      </c>
      <c r="J118" s="15">
        <v>150</v>
      </c>
      <c r="K118" s="15">
        <v>150</v>
      </c>
      <c r="L118" s="15">
        <v>0</v>
      </c>
      <c r="M118" s="16">
        <v>0</v>
      </c>
      <c r="N118" s="30">
        <f t="shared" si="25"/>
        <v>1418.54</v>
      </c>
    </row>
    <row r="119" spans="1:14" x14ac:dyDescent="0.2">
      <c r="A119" s="21" t="s">
        <v>95</v>
      </c>
      <c r="B119" s="22">
        <v>100</v>
      </c>
      <c r="C119" s="22"/>
      <c r="D119" s="22"/>
      <c r="E119" s="15"/>
      <c r="F119" s="15"/>
      <c r="G119" s="15"/>
      <c r="H119" s="15"/>
      <c r="I119" s="15"/>
      <c r="J119" s="15"/>
      <c r="K119" s="15"/>
      <c r="L119" s="15"/>
      <c r="M119" s="33">
        <v>0</v>
      </c>
      <c r="N119" s="30">
        <f t="shared" si="25"/>
        <v>100</v>
      </c>
    </row>
    <row r="120" spans="1:14" ht="15.75" x14ac:dyDescent="0.25">
      <c r="A120" s="23" t="s">
        <v>73</v>
      </c>
      <c r="B120" s="56">
        <f>SUM(B62,B68,B70:B76,B82,B84:B90,B96,B101,B105,B107:B119)</f>
        <v>103893.2</v>
      </c>
      <c r="C120" s="56">
        <f>SUM(C62,C68,C70:C76,C82,C84:C90,C96,C101,C105,C107:C119)</f>
        <v>52049.140000000007</v>
      </c>
      <c r="D120" s="56">
        <f t="shared" ref="D120:L120" si="26">SUM(D62,D68,D70:D76,D82,D84:D90,D96,D101,D105,D107:D119)</f>
        <v>50684.23000000001</v>
      </c>
      <c r="E120" s="56">
        <f t="shared" si="26"/>
        <v>51215.177950000005</v>
      </c>
      <c r="F120" s="56">
        <f t="shared" si="26"/>
        <v>49591.688075000005</v>
      </c>
      <c r="G120" s="56">
        <f t="shared" si="26"/>
        <v>72484.418844999993</v>
      </c>
      <c r="H120" s="56">
        <f t="shared" si="26"/>
        <v>78015.134705000004</v>
      </c>
      <c r="I120" s="56">
        <f t="shared" si="26"/>
        <v>90869.94776000001</v>
      </c>
      <c r="J120" s="56">
        <f t="shared" si="26"/>
        <v>80695.311294999992</v>
      </c>
      <c r="K120" s="56">
        <f t="shared" si="26"/>
        <v>60947.121000000006</v>
      </c>
      <c r="L120" s="56">
        <f t="shared" si="26"/>
        <v>44543.363395</v>
      </c>
      <c r="M120" s="57">
        <f>SUM(M62,M68,M70:M76,M82,M84:M90,M96,M101,M105,M107:M119)</f>
        <v>51015.787295000002</v>
      </c>
      <c r="N120" s="56">
        <f>SUM(N62,N68,N70:N76,N82,N84:N90,N96,N101,N105,N107:N119)</f>
        <v>786004.52031999989</v>
      </c>
    </row>
    <row r="121" spans="1:14" x14ac:dyDescent="0.2">
      <c r="A121" s="13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8"/>
      <c r="N121" s="47"/>
    </row>
    <row r="122" spans="1:14" ht="15.75" x14ac:dyDescent="0.25">
      <c r="A122" s="23" t="s">
        <v>74</v>
      </c>
      <c r="B122" s="56">
        <f>B59-B120</f>
        <v>36134.780000000013</v>
      </c>
      <c r="C122" s="56">
        <f t="shared" ref="C122:M122" si="27">C59-C120</f>
        <v>-9765.6700000000055</v>
      </c>
      <c r="D122" s="56">
        <f t="shared" si="27"/>
        <v>39268.499999999985</v>
      </c>
      <c r="E122" s="56">
        <f t="shared" si="27"/>
        <v>-25190.677950000005</v>
      </c>
      <c r="F122" s="56">
        <f t="shared" si="27"/>
        <v>77837.711924999981</v>
      </c>
      <c r="G122" s="56">
        <f t="shared" si="27"/>
        <v>95149.121155000015</v>
      </c>
      <c r="H122" s="56">
        <f t="shared" si="27"/>
        <v>-60800.134705000004</v>
      </c>
      <c r="I122" s="56">
        <f t="shared" si="27"/>
        <v>-55921.94776000001</v>
      </c>
      <c r="J122" s="56">
        <f t="shared" si="27"/>
        <v>4880.6206050000037</v>
      </c>
      <c r="K122" s="56">
        <f t="shared" si="27"/>
        <v>-17954.121000000006</v>
      </c>
      <c r="L122" s="56">
        <f t="shared" si="27"/>
        <v>-1152.6133950000003</v>
      </c>
      <c r="M122" s="57">
        <f t="shared" si="27"/>
        <v>23532.512705000001</v>
      </c>
      <c r="N122" s="56">
        <f>N59-N120</f>
        <v>106018.08158000011</v>
      </c>
    </row>
    <row r="124" spans="1:14" x14ac:dyDescent="0.2">
      <c r="B124" s="17"/>
    </row>
    <row r="125" spans="1:14" x14ac:dyDescent="0.2">
      <c r="B125" s="17"/>
    </row>
    <row r="126" spans="1:14" x14ac:dyDescent="0.2">
      <c r="B126" s="17"/>
    </row>
    <row r="127" spans="1:14" x14ac:dyDescent="0.2">
      <c r="B127" s="17"/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9C908-ED9F-4A93-B842-06612BA1C958}">
  <dimension ref="A1:D106"/>
  <sheetViews>
    <sheetView workbookViewId="0">
      <selection activeCell="O14" sqref="O14"/>
    </sheetView>
  </sheetViews>
  <sheetFormatPr defaultRowHeight="15" x14ac:dyDescent="0.25"/>
  <cols>
    <col min="1" max="1" width="48.140625" customWidth="1"/>
    <col min="2" max="4" width="10.28515625" customWidth="1"/>
  </cols>
  <sheetData>
    <row r="1" spans="1:4" ht="18" x14ac:dyDescent="0.25">
      <c r="A1" s="66" t="s">
        <v>76</v>
      </c>
      <c r="B1" s="67"/>
      <c r="C1" s="67"/>
      <c r="D1" s="67"/>
    </row>
    <row r="2" spans="1:4" ht="18" x14ac:dyDescent="0.25">
      <c r="A2" s="66" t="s">
        <v>113</v>
      </c>
      <c r="B2" s="67"/>
      <c r="C2" s="67"/>
      <c r="D2" s="67"/>
    </row>
    <row r="3" spans="1:4" x14ac:dyDescent="0.25">
      <c r="A3" s="68" t="s">
        <v>114</v>
      </c>
      <c r="B3" s="67"/>
      <c r="C3" s="67"/>
      <c r="D3" s="67"/>
    </row>
    <row r="5" spans="1:4" x14ac:dyDescent="0.25">
      <c r="A5" s="5"/>
      <c r="B5" s="6" t="s">
        <v>115</v>
      </c>
      <c r="C5" s="6" t="s">
        <v>116</v>
      </c>
      <c r="D5" s="6" t="s">
        <v>117</v>
      </c>
    </row>
    <row r="6" spans="1:4" x14ac:dyDescent="0.25">
      <c r="A6" s="1" t="s">
        <v>0</v>
      </c>
      <c r="B6" s="2"/>
      <c r="C6" s="2"/>
      <c r="D6" s="2"/>
    </row>
    <row r="7" spans="1:4" x14ac:dyDescent="0.25">
      <c r="A7" s="1" t="s">
        <v>1</v>
      </c>
      <c r="B7" s="2"/>
      <c r="C7" s="2"/>
      <c r="D7" s="2"/>
    </row>
    <row r="8" spans="1:4" x14ac:dyDescent="0.25">
      <c r="A8" s="1" t="s">
        <v>2</v>
      </c>
      <c r="B8" s="3">
        <f>910</f>
        <v>910</v>
      </c>
      <c r="C8" s="3">
        <f>3195</f>
        <v>3195</v>
      </c>
      <c r="D8" s="3">
        <f>51821</f>
        <v>51821</v>
      </c>
    </row>
    <row r="9" spans="1:4" x14ac:dyDescent="0.25">
      <c r="A9" s="1" t="s">
        <v>108</v>
      </c>
      <c r="B9" s="2"/>
      <c r="C9" s="3">
        <f>0</f>
        <v>0</v>
      </c>
      <c r="D9" s="3">
        <f>3000</f>
        <v>3000</v>
      </c>
    </row>
    <row r="10" spans="1:4" x14ac:dyDescent="0.25">
      <c r="A10" s="1" t="s">
        <v>3</v>
      </c>
      <c r="B10" s="2"/>
      <c r="C10" s="3">
        <f>2650</f>
        <v>2650</v>
      </c>
      <c r="D10" s="2"/>
    </row>
    <row r="11" spans="1:4" x14ac:dyDescent="0.25">
      <c r="A11" s="1" t="s">
        <v>4</v>
      </c>
      <c r="B11" s="2"/>
      <c r="C11" s="2"/>
      <c r="D11" s="3">
        <f>202.46</f>
        <v>202.46</v>
      </c>
    </row>
    <row r="12" spans="1:4" x14ac:dyDescent="0.25">
      <c r="A12" s="1" t="s">
        <v>83</v>
      </c>
      <c r="B12" s="3">
        <f>1325</f>
        <v>1325</v>
      </c>
      <c r="C12" s="3">
        <f>750</f>
        <v>750</v>
      </c>
      <c r="D12" s="3">
        <f>1060</f>
        <v>1060</v>
      </c>
    </row>
    <row r="13" spans="1:4" x14ac:dyDescent="0.25">
      <c r="A13" s="1" t="s">
        <v>85</v>
      </c>
      <c r="B13" s="2"/>
      <c r="C13" s="3">
        <f>0</f>
        <v>0</v>
      </c>
      <c r="D13" s="2"/>
    </row>
    <row r="14" spans="1:4" x14ac:dyDescent="0.25">
      <c r="A14" s="1" t="s">
        <v>5</v>
      </c>
      <c r="B14" s="4">
        <f>((((((B7)+(B8))+(B9))+(B10))+(B11))+(B12))+(B13)</f>
        <v>2235</v>
      </c>
      <c r="C14" s="4">
        <f>((((((C7)+(C8))+(C9))+(C10))+(C11))+(C12))+(C13)</f>
        <v>6595</v>
      </c>
      <c r="D14" s="4">
        <f>((((((D7)+(D8))+(D9))+(D10))+(D11))+(D12))+(D13)</f>
        <v>56083.46</v>
      </c>
    </row>
    <row r="15" spans="1:4" x14ac:dyDescent="0.25">
      <c r="A15" s="1" t="s">
        <v>6</v>
      </c>
      <c r="B15" s="3">
        <f>66.22</f>
        <v>66.22</v>
      </c>
      <c r="C15" s="3">
        <f>57.99</f>
        <v>57.99</v>
      </c>
      <c r="D15" s="3">
        <f>53.6</f>
        <v>53.6</v>
      </c>
    </row>
    <row r="16" spans="1:4" x14ac:dyDescent="0.25">
      <c r="A16" s="1" t="s">
        <v>7</v>
      </c>
      <c r="B16" s="3">
        <f>0</f>
        <v>0</v>
      </c>
      <c r="C16" s="3">
        <f>0</f>
        <v>0</v>
      </c>
      <c r="D16" s="3">
        <f>31340.1</f>
        <v>31340.1</v>
      </c>
    </row>
    <row r="17" spans="1:4" x14ac:dyDescent="0.25">
      <c r="A17" s="1" t="s">
        <v>8</v>
      </c>
      <c r="B17" s="3">
        <f>25891</f>
        <v>25891</v>
      </c>
      <c r="C17" s="3">
        <f>31631.75</f>
        <v>31631.75</v>
      </c>
      <c r="D17" s="3">
        <f>926.25</f>
        <v>926.25</v>
      </c>
    </row>
    <row r="18" spans="1:4" x14ac:dyDescent="0.25">
      <c r="A18" s="1" t="s">
        <v>9</v>
      </c>
      <c r="B18" s="3">
        <f>101766</f>
        <v>101766</v>
      </c>
      <c r="C18" s="3">
        <f>195</f>
        <v>195</v>
      </c>
      <c r="D18" s="2"/>
    </row>
    <row r="19" spans="1:4" x14ac:dyDescent="0.25">
      <c r="A19" s="1" t="s">
        <v>10</v>
      </c>
      <c r="B19" s="3">
        <f>250</f>
        <v>250</v>
      </c>
      <c r="C19" s="2"/>
      <c r="D19" s="2"/>
    </row>
    <row r="20" spans="1:4" x14ac:dyDescent="0.25">
      <c r="A20" s="1" t="s">
        <v>11</v>
      </c>
      <c r="B20" s="2"/>
      <c r="C20" s="3">
        <f>25</f>
        <v>25</v>
      </c>
      <c r="D20" s="2"/>
    </row>
    <row r="21" spans="1:4" x14ac:dyDescent="0.25">
      <c r="A21" s="1" t="s">
        <v>12</v>
      </c>
      <c r="B21" s="3">
        <f>19417.91</f>
        <v>19417.91</v>
      </c>
      <c r="C21" s="3">
        <f>17</f>
        <v>17</v>
      </c>
      <c r="D21" s="3">
        <f>15293.1</f>
        <v>15293.1</v>
      </c>
    </row>
    <row r="22" spans="1:4" x14ac:dyDescent="0.25">
      <c r="A22" s="1" t="s">
        <v>77</v>
      </c>
      <c r="B22" s="3">
        <f>7415</f>
        <v>7415</v>
      </c>
      <c r="C22" s="3">
        <f>7142</f>
        <v>7142</v>
      </c>
      <c r="D22" s="3">
        <f>78</f>
        <v>78</v>
      </c>
    </row>
    <row r="23" spans="1:4" x14ac:dyDescent="0.25">
      <c r="A23" s="1" t="s">
        <v>86</v>
      </c>
      <c r="B23" s="3">
        <f>875</f>
        <v>875</v>
      </c>
      <c r="C23" s="2"/>
      <c r="D23" s="2"/>
    </row>
    <row r="24" spans="1:4" x14ac:dyDescent="0.25">
      <c r="A24" s="1" t="s">
        <v>13</v>
      </c>
      <c r="B24" s="4">
        <f>(((((((B16)+(B17))+(B18))+(B19))+(B20))+(B21))+(B22))+(B23)</f>
        <v>155614.91</v>
      </c>
      <c r="C24" s="4">
        <f>(((((((C16)+(C17))+(C18))+(C19))+(C20))+(C21))+(C22))+(C23)</f>
        <v>39010.75</v>
      </c>
      <c r="D24" s="4">
        <f>(((((((D16)+(D17))+(D18))+(D19))+(D20))+(D21))+(D22))+(D23)</f>
        <v>47637.45</v>
      </c>
    </row>
    <row r="25" spans="1:4" x14ac:dyDescent="0.25">
      <c r="A25" s="1" t="s">
        <v>14</v>
      </c>
      <c r="B25" s="2"/>
      <c r="C25" s="2"/>
      <c r="D25" s="2"/>
    </row>
    <row r="26" spans="1:4" x14ac:dyDescent="0.25">
      <c r="A26" s="1" t="s">
        <v>15</v>
      </c>
      <c r="B26" s="3">
        <f>-1530.75</f>
        <v>-1530.75</v>
      </c>
      <c r="C26" s="3">
        <f>-2551.7</f>
        <v>-2551.6999999999998</v>
      </c>
      <c r="D26" s="2"/>
    </row>
    <row r="27" spans="1:4" x14ac:dyDescent="0.25">
      <c r="A27" s="1" t="s">
        <v>16</v>
      </c>
      <c r="B27" s="3">
        <f>-3517</f>
        <v>-3517</v>
      </c>
      <c r="C27" s="3">
        <f>-290</f>
        <v>-290</v>
      </c>
      <c r="D27" s="2"/>
    </row>
    <row r="28" spans="1:4" x14ac:dyDescent="0.25">
      <c r="A28" s="1" t="s">
        <v>17</v>
      </c>
      <c r="B28" s="2"/>
      <c r="C28" s="2"/>
      <c r="D28" s="2"/>
    </row>
    <row r="29" spans="1:4" x14ac:dyDescent="0.25">
      <c r="A29" s="1" t="s">
        <v>82</v>
      </c>
      <c r="B29" s="3">
        <f>-131.3</f>
        <v>-131.30000000000001</v>
      </c>
      <c r="C29" s="3">
        <f>-136.5</f>
        <v>-136.5</v>
      </c>
      <c r="D29" s="2"/>
    </row>
    <row r="30" spans="1:4" x14ac:dyDescent="0.25">
      <c r="A30" s="1" t="s">
        <v>87</v>
      </c>
      <c r="B30" s="3">
        <f>-110</f>
        <v>-110</v>
      </c>
      <c r="C30" s="2"/>
      <c r="D30" s="2"/>
    </row>
    <row r="31" spans="1:4" x14ac:dyDescent="0.25">
      <c r="A31" s="1" t="s">
        <v>18</v>
      </c>
      <c r="B31" s="4">
        <f>(((((B25)+(B26))+(B27))+(B28))+(B29))+(B30)</f>
        <v>-5289.05</v>
      </c>
      <c r="C31" s="4">
        <f>(((((C25)+(C26))+(C27))+(C28))+(C29))+(C30)</f>
        <v>-2978.2</v>
      </c>
      <c r="D31" s="4">
        <f>(((((D25)+(D26))+(D27))+(D28))+(D29))+(D30)</f>
        <v>0</v>
      </c>
    </row>
    <row r="32" spans="1:4" x14ac:dyDescent="0.25">
      <c r="A32" s="1" t="s">
        <v>78</v>
      </c>
      <c r="B32" s="2"/>
      <c r="C32" s="2"/>
      <c r="D32" s="2"/>
    </row>
    <row r="33" spans="1:4" x14ac:dyDescent="0.25">
      <c r="A33" s="1" t="s">
        <v>81</v>
      </c>
      <c r="B33" s="3">
        <f>-285.5</f>
        <v>-285.5</v>
      </c>
      <c r="C33" s="3">
        <f>-135</f>
        <v>-135</v>
      </c>
      <c r="D33" s="2"/>
    </row>
    <row r="34" spans="1:4" x14ac:dyDescent="0.25">
      <c r="A34" s="1" t="s">
        <v>79</v>
      </c>
      <c r="B34" s="3">
        <f>-3149.5</f>
        <v>-3149.5</v>
      </c>
      <c r="C34" s="3">
        <f>-305</f>
        <v>-305</v>
      </c>
      <c r="D34" s="2"/>
    </row>
    <row r="35" spans="1:4" x14ac:dyDescent="0.25">
      <c r="A35" s="1" t="s">
        <v>88</v>
      </c>
      <c r="B35" s="3">
        <f>-39</f>
        <v>-39</v>
      </c>
      <c r="C35" s="3">
        <f>-37.8</f>
        <v>-37.799999999999997</v>
      </c>
      <c r="D35" s="2"/>
    </row>
    <row r="36" spans="1:4" x14ac:dyDescent="0.25">
      <c r="A36" s="1" t="s">
        <v>89</v>
      </c>
      <c r="B36" s="2"/>
      <c r="C36" s="2"/>
      <c r="D36" s="2"/>
    </row>
    <row r="37" spans="1:4" x14ac:dyDescent="0.25">
      <c r="A37" s="1" t="s">
        <v>90</v>
      </c>
      <c r="B37" s="2"/>
      <c r="C37" s="2"/>
      <c r="D37" s="2"/>
    </row>
    <row r="38" spans="1:4" x14ac:dyDescent="0.25">
      <c r="A38" s="1" t="s">
        <v>80</v>
      </c>
      <c r="B38" s="4">
        <f>(((((B32)+(B33))+(B34))+(B35))+(B36))+(B37)</f>
        <v>-3474</v>
      </c>
      <c r="C38" s="4">
        <f>(((((C32)+(C33))+(C34))+(C35))+(C36))+(C37)</f>
        <v>-477.8</v>
      </c>
      <c r="D38" s="4">
        <f>(((((D32)+(D33))+(D34))+(D35))+(D36))+(D37)</f>
        <v>0</v>
      </c>
    </row>
    <row r="39" spans="1:4" x14ac:dyDescent="0.25">
      <c r="A39" s="1" t="s">
        <v>19</v>
      </c>
      <c r="B39" s="4">
        <f>((((B14)+(B15))+(B24))+(B31))+(B38)</f>
        <v>149153.08000000002</v>
      </c>
      <c r="C39" s="4">
        <f>((((C14)+(C15))+(C24))+(C31))+(C38)</f>
        <v>42207.74</v>
      </c>
      <c r="D39" s="4">
        <f>((((D14)+(D15))+(D24))+(D31))+(D38)</f>
        <v>103774.51</v>
      </c>
    </row>
    <row r="40" spans="1:4" x14ac:dyDescent="0.25">
      <c r="A40" s="1" t="s">
        <v>20</v>
      </c>
      <c r="B40" s="2"/>
      <c r="C40" s="2"/>
      <c r="D40" s="2"/>
    </row>
    <row r="41" spans="1:4" x14ac:dyDescent="0.25">
      <c r="A41" s="1" t="s">
        <v>21</v>
      </c>
      <c r="B41" s="2"/>
      <c r="C41" s="2"/>
      <c r="D41" s="2"/>
    </row>
    <row r="42" spans="1:4" x14ac:dyDescent="0.25">
      <c r="A42" s="1" t="s">
        <v>22</v>
      </c>
      <c r="B42" s="3">
        <f>58.18</f>
        <v>58.18</v>
      </c>
      <c r="C42" s="2"/>
      <c r="D42" s="2"/>
    </row>
    <row r="43" spans="1:4" x14ac:dyDescent="0.25">
      <c r="A43" s="1" t="s">
        <v>24</v>
      </c>
      <c r="B43" s="3">
        <f>4399.75</f>
        <v>4399.75</v>
      </c>
      <c r="C43" s="3">
        <f>-833.81</f>
        <v>-833.81</v>
      </c>
      <c r="D43" s="2"/>
    </row>
    <row r="44" spans="1:4" x14ac:dyDescent="0.25">
      <c r="A44" s="1" t="s">
        <v>91</v>
      </c>
      <c r="B44" s="3">
        <f>4053.07</f>
        <v>4053.07</v>
      </c>
      <c r="C44" s="3">
        <f>758.08</f>
        <v>758.08</v>
      </c>
      <c r="D44" s="3">
        <f>1321.94</f>
        <v>1321.94</v>
      </c>
    </row>
    <row r="45" spans="1:4" x14ac:dyDescent="0.25">
      <c r="A45" s="1" t="s">
        <v>92</v>
      </c>
      <c r="B45" s="3">
        <f>43.85</f>
        <v>43.85</v>
      </c>
      <c r="C45" s="2"/>
      <c r="D45" s="2"/>
    </row>
    <row r="46" spans="1:4" x14ac:dyDescent="0.25">
      <c r="A46" s="1" t="s">
        <v>93</v>
      </c>
      <c r="B46" s="3">
        <f>570.25</f>
        <v>570.25</v>
      </c>
      <c r="C46" s="2"/>
      <c r="D46" s="2"/>
    </row>
    <row r="47" spans="1:4" x14ac:dyDescent="0.25">
      <c r="A47" s="1" t="s">
        <v>27</v>
      </c>
      <c r="B47" s="4">
        <f>(((((B41)+(B42))+(B43))+(B44))+(B45))+(B46)</f>
        <v>9125.1</v>
      </c>
      <c r="C47" s="4">
        <f>(((((C41)+(C42))+(C43))+(C44))+(C45))+(C46)</f>
        <v>-75.729999999999905</v>
      </c>
      <c r="D47" s="4">
        <f>(((((D41)+(D42))+(D43))+(D44))+(D45))+(D46)</f>
        <v>1321.94</v>
      </c>
    </row>
    <row r="48" spans="1:4" x14ac:dyDescent="0.25">
      <c r="A48" s="1" t="s">
        <v>28</v>
      </c>
      <c r="B48" s="4">
        <f>B47</f>
        <v>9125.1</v>
      </c>
      <c r="C48" s="4">
        <f>C47</f>
        <v>-75.729999999999905</v>
      </c>
      <c r="D48" s="4">
        <f>D47</f>
        <v>1321.94</v>
      </c>
    </row>
    <row r="49" spans="1:4" x14ac:dyDescent="0.25">
      <c r="A49" s="1" t="s">
        <v>29</v>
      </c>
      <c r="B49" s="4">
        <f>(B39)-(B48)</f>
        <v>140027.98000000001</v>
      </c>
      <c r="C49" s="4">
        <f>(C39)-(C48)</f>
        <v>42283.47</v>
      </c>
      <c r="D49" s="4">
        <f>(D39)-(D48)</f>
        <v>102452.56999999999</v>
      </c>
    </row>
    <row r="50" spans="1:4" x14ac:dyDescent="0.25">
      <c r="A50" s="1" t="s">
        <v>30</v>
      </c>
      <c r="B50" s="2"/>
      <c r="C50" s="2"/>
      <c r="D50" s="2"/>
    </row>
    <row r="51" spans="1:4" x14ac:dyDescent="0.25">
      <c r="A51" s="1" t="s">
        <v>31</v>
      </c>
      <c r="B51" s="3">
        <f>214.02</f>
        <v>214.02</v>
      </c>
      <c r="C51" s="3">
        <f>3161.31</f>
        <v>3161.31</v>
      </c>
      <c r="D51" s="2"/>
    </row>
    <row r="52" spans="1:4" x14ac:dyDescent="0.25">
      <c r="A52" s="1" t="s">
        <v>32</v>
      </c>
      <c r="B52" s="3">
        <f>39</f>
        <v>39</v>
      </c>
      <c r="C52" s="3">
        <f>0</f>
        <v>0</v>
      </c>
      <c r="D52" s="3">
        <f>0</f>
        <v>0</v>
      </c>
    </row>
    <row r="53" spans="1:4" x14ac:dyDescent="0.25">
      <c r="A53" s="1" t="s">
        <v>109</v>
      </c>
      <c r="B53" s="3">
        <f>41.67</f>
        <v>41.67</v>
      </c>
      <c r="C53" s="3">
        <f>17.36</f>
        <v>17.36</v>
      </c>
      <c r="D53" s="3">
        <f>1133.76</f>
        <v>1133.76</v>
      </c>
    </row>
    <row r="54" spans="1:4" x14ac:dyDescent="0.25">
      <c r="A54" s="1" t="s">
        <v>110</v>
      </c>
      <c r="B54" s="2"/>
      <c r="C54" s="3">
        <f>6.52</f>
        <v>6.52</v>
      </c>
      <c r="D54" s="3">
        <f>16.74</f>
        <v>16.739999999999998</v>
      </c>
    </row>
    <row r="55" spans="1:4" x14ac:dyDescent="0.25">
      <c r="A55" s="1" t="s">
        <v>111</v>
      </c>
      <c r="B55" s="3">
        <f>350</f>
        <v>350</v>
      </c>
      <c r="C55" s="2"/>
      <c r="D55" s="2"/>
    </row>
    <row r="56" spans="1:4" x14ac:dyDescent="0.25">
      <c r="A56" s="1" t="s">
        <v>112</v>
      </c>
      <c r="B56" s="4">
        <f>(((B52)+(B53))+(B54))+(B55)</f>
        <v>430.67</v>
      </c>
      <c r="C56" s="4">
        <f>(((C52)+(C53))+(C54))+(C55)</f>
        <v>23.88</v>
      </c>
      <c r="D56" s="4">
        <f>(((D52)+(D53))+(D54))+(D55)</f>
        <v>1150.5</v>
      </c>
    </row>
    <row r="57" spans="1:4" x14ac:dyDescent="0.25">
      <c r="A57" s="1" t="s">
        <v>33</v>
      </c>
      <c r="B57" s="3">
        <f>0</f>
        <v>0</v>
      </c>
      <c r="C57" s="2"/>
      <c r="D57" s="3">
        <f>0</f>
        <v>0</v>
      </c>
    </row>
    <row r="58" spans="1:4" x14ac:dyDescent="0.25">
      <c r="A58" s="1" t="s">
        <v>34</v>
      </c>
      <c r="B58" s="2"/>
      <c r="C58" s="2"/>
      <c r="D58" s="3">
        <f>192.01</f>
        <v>192.01</v>
      </c>
    </row>
    <row r="59" spans="1:4" x14ac:dyDescent="0.25">
      <c r="A59" s="1" t="s">
        <v>35</v>
      </c>
      <c r="B59" s="3">
        <f>87</f>
        <v>87</v>
      </c>
      <c r="C59" s="3">
        <f>61</f>
        <v>61</v>
      </c>
      <c r="D59" s="3">
        <f>117</f>
        <v>117</v>
      </c>
    </row>
    <row r="60" spans="1:4" x14ac:dyDescent="0.25">
      <c r="A60" s="1" t="s">
        <v>36</v>
      </c>
      <c r="B60" s="3">
        <f>611.77</f>
        <v>611.77</v>
      </c>
      <c r="C60" s="3">
        <f>250</f>
        <v>250</v>
      </c>
      <c r="D60" s="2"/>
    </row>
    <row r="61" spans="1:4" x14ac:dyDescent="0.25">
      <c r="A61" s="1" t="s">
        <v>37</v>
      </c>
      <c r="B61" s="3">
        <f>9777.54</f>
        <v>9777.5400000000009</v>
      </c>
      <c r="C61" s="3">
        <f>5018</f>
        <v>5018</v>
      </c>
      <c r="D61" s="3">
        <f>2561.25</f>
        <v>2561.25</v>
      </c>
    </row>
    <row r="62" spans="1:4" x14ac:dyDescent="0.25">
      <c r="A62" s="1" t="s">
        <v>84</v>
      </c>
      <c r="B62" s="3">
        <f>334.26</f>
        <v>334.26</v>
      </c>
      <c r="C62" s="3">
        <f>425.68</f>
        <v>425.68</v>
      </c>
      <c r="D62" s="3">
        <f>425.68</f>
        <v>425.68</v>
      </c>
    </row>
    <row r="63" spans="1:4" x14ac:dyDescent="0.25">
      <c r="A63" s="1" t="s">
        <v>38</v>
      </c>
      <c r="B63" s="3">
        <f>120.71</f>
        <v>120.71</v>
      </c>
      <c r="C63" s="2"/>
      <c r="D63" s="2"/>
    </row>
    <row r="64" spans="1:4" x14ac:dyDescent="0.25">
      <c r="A64" s="1" t="s">
        <v>39</v>
      </c>
      <c r="B64" s="2"/>
      <c r="C64" s="2"/>
      <c r="D64" s="2"/>
    </row>
    <row r="65" spans="1:4" x14ac:dyDescent="0.25">
      <c r="A65" s="1" t="s">
        <v>40</v>
      </c>
      <c r="B65" s="3">
        <f>12500</f>
        <v>12500</v>
      </c>
      <c r="C65" s="3">
        <f>12500</f>
        <v>12500</v>
      </c>
      <c r="D65" s="3">
        <f>12860</f>
        <v>12860</v>
      </c>
    </row>
    <row r="66" spans="1:4" x14ac:dyDescent="0.25">
      <c r="A66" s="1" t="s">
        <v>41</v>
      </c>
      <c r="B66" s="2"/>
      <c r="C66" s="2"/>
      <c r="D66" s="2"/>
    </row>
    <row r="67" spans="1:4" x14ac:dyDescent="0.25">
      <c r="A67" s="1" t="s">
        <v>42</v>
      </c>
      <c r="B67" s="4">
        <f>((B64)+(B65))+(B66)</f>
        <v>12500</v>
      </c>
      <c r="C67" s="4">
        <f>((C64)+(C65))+(C66)</f>
        <v>12500</v>
      </c>
      <c r="D67" s="4">
        <f>((D64)+(D65))+(D66)</f>
        <v>12860</v>
      </c>
    </row>
    <row r="68" spans="1:4" x14ac:dyDescent="0.25">
      <c r="A68" s="1" t="s">
        <v>94</v>
      </c>
      <c r="B68" s="3">
        <f>304.25</f>
        <v>304.25</v>
      </c>
      <c r="C68" s="2"/>
      <c r="D68" s="2"/>
    </row>
    <row r="69" spans="1:4" x14ac:dyDescent="0.25">
      <c r="A69" s="1" t="s">
        <v>43</v>
      </c>
      <c r="B69" s="3">
        <f>581.36</f>
        <v>581.36</v>
      </c>
      <c r="C69" s="3">
        <f>20.95</f>
        <v>20.95</v>
      </c>
      <c r="D69" s="2"/>
    </row>
    <row r="70" spans="1:4" x14ac:dyDescent="0.25">
      <c r="A70" s="1" t="s">
        <v>44</v>
      </c>
      <c r="B70" s="3">
        <f>250</f>
        <v>250</v>
      </c>
      <c r="C70" s="3">
        <f>1117.16</f>
        <v>1117.1600000000001</v>
      </c>
      <c r="D70" s="3">
        <f>90</f>
        <v>90</v>
      </c>
    </row>
    <row r="71" spans="1:4" x14ac:dyDescent="0.25">
      <c r="A71" s="1" t="s">
        <v>45</v>
      </c>
      <c r="B71" s="3">
        <f>118.47</f>
        <v>118.47</v>
      </c>
      <c r="C71" s="3">
        <f>191.17</f>
        <v>191.17</v>
      </c>
      <c r="D71" s="3">
        <f>25.38</f>
        <v>25.38</v>
      </c>
    </row>
    <row r="72" spans="1:4" x14ac:dyDescent="0.25">
      <c r="A72" s="1" t="s">
        <v>46</v>
      </c>
      <c r="B72" s="3">
        <f>137.6</f>
        <v>137.6</v>
      </c>
      <c r="C72" s="3">
        <f>140.15</f>
        <v>140.15</v>
      </c>
      <c r="D72" s="3">
        <f>194.66</f>
        <v>194.66</v>
      </c>
    </row>
    <row r="73" spans="1:4" x14ac:dyDescent="0.25">
      <c r="A73" s="1" t="s">
        <v>47</v>
      </c>
      <c r="B73" s="3">
        <f>21.3</f>
        <v>21.3</v>
      </c>
      <c r="C73" s="2"/>
      <c r="D73" s="3">
        <f>339.81</f>
        <v>339.81</v>
      </c>
    </row>
    <row r="74" spans="1:4" x14ac:dyDescent="0.25">
      <c r="A74" s="1" t="s">
        <v>48</v>
      </c>
      <c r="B74" s="3">
        <f>34195.36</f>
        <v>34195.360000000001</v>
      </c>
      <c r="C74" s="3">
        <f>15456.1</f>
        <v>15456.1</v>
      </c>
      <c r="D74" s="3">
        <f>16587.72</f>
        <v>16587.72</v>
      </c>
    </row>
    <row r="75" spans="1:4" x14ac:dyDescent="0.25">
      <c r="A75" s="1" t="s">
        <v>49</v>
      </c>
      <c r="B75" s="3">
        <f>0</f>
        <v>0</v>
      </c>
      <c r="C75" s="3">
        <f>0</f>
        <v>0</v>
      </c>
      <c r="D75" s="3">
        <f>417.13</f>
        <v>417.13</v>
      </c>
    </row>
    <row r="76" spans="1:4" x14ac:dyDescent="0.25">
      <c r="A76" s="1" t="s">
        <v>50</v>
      </c>
      <c r="B76" s="3">
        <f>830.75</f>
        <v>830.75</v>
      </c>
      <c r="C76" s="3">
        <f>830.75</f>
        <v>830.75</v>
      </c>
      <c r="D76" s="3">
        <f>830.75</f>
        <v>830.75</v>
      </c>
    </row>
    <row r="77" spans="1:4" x14ac:dyDescent="0.25">
      <c r="A77" s="1" t="s">
        <v>51</v>
      </c>
      <c r="B77" s="3">
        <f>70</f>
        <v>70</v>
      </c>
      <c r="C77" s="3">
        <f>70</f>
        <v>70</v>
      </c>
      <c r="D77" s="2"/>
    </row>
    <row r="78" spans="1:4" x14ac:dyDescent="0.25">
      <c r="A78" s="1" t="s">
        <v>52</v>
      </c>
      <c r="B78" s="3">
        <f>77</f>
        <v>77</v>
      </c>
      <c r="C78" s="3">
        <f>77</f>
        <v>77</v>
      </c>
      <c r="D78" s="2"/>
    </row>
    <row r="79" spans="1:4" x14ac:dyDescent="0.25">
      <c r="A79" s="1" t="s">
        <v>53</v>
      </c>
      <c r="B79" s="4">
        <f>(((B75)+(B76))+(B77))+(B78)</f>
        <v>977.75</v>
      </c>
      <c r="C79" s="4">
        <f>(((C75)+(C76))+(C77))+(C78)</f>
        <v>977.75</v>
      </c>
      <c r="D79" s="4">
        <f>(((D75)+(D76))+(D77))+(D78)</f>
        <v>1247.8800000000001</v>
      </c>
    </row>
    <row r="80" spans="1:4" x14ac:dyDescent="0.25">
      <c r="A80" s="1" t="s">
        <v>54</v>
      </c>
      <c r="B80" s="2"/>
      <c r="C80" s="2"/>
      <c r="D80" s="2"/>
    </row>
    <row r="81" spans="1:4" x14ac:dyDescent="0.25">
      <c r="A81" s="1" t="s">
        <v>55</v>
      </c>
      <c r="B81" s="3">
        <f>3589.91</f>
        <v>3589.91</v>
      </c>
      <c r="C81" s="3">
        <f>1872.38</f>
        <v>1872.38</v>
      </c>
      <c r="D81" s="3">
        <f>1952.09</f>
        <v>1952.09</v>
      </c>
    </row>
    <row r="82" spans="1:4" x14ac:dyDescent="0.25">
      <c r="A82" s="1" t="s">
        <v>56</v>
      </c>
      <c r="B82" s="3">
        <f>326.98</f>
        <v>326.98</v>
      </c>
      <c r="C82" s="3">
        <f>107.05</f>
        <v>107.05</v>
      </c>
      <c r="D82" s="3">
        <f>132.79</f>
        <v>132.79</v>
      </c>
    </row>
    <row r="83" spans="1:4" x14ac:dyDescent="0.25">
      <c r="A83" s="1" t="s">
        <v>57</v>
      </c>
      <c r="B83" s="4">
        <f>((B80)+(B81))+(B82)</f>
        <v>3916.89</v>
      </c>
      <c r="C83" s="4">
        <f>((C80)+(C81))+(C82)</f>
        <v>1979.43</v>
      </c>
      <c r="D83" s="4">
        <f>((D80)+(D81))+(D82)</f>
        <v>2084.88</v>
      </c>
    </row>
    <row r="84" spans="1:4" x14ac:dyDescent="0.25">
      <c r="A84" s="1" t="s">
        <v>58</v>
      </c>
      <c r="B84" s="3">
        <f>12000</f>
        <v>12000</v>
      </c>
      <c r="C84" s="3">
        <f>8000</f>
        <v>8000</v>
      </c>
      <c r="D84" s="3">
        <f>8930</f>
        <v>8930</v>
      </c>
    </row>
    <row r="85" spans="1:4" x14ac:dyDescent="0.25">
      <c r="A85" s="1" t="s">
        <v>59</v>
      </c>
      <c r="B85" s="3">
        <f>731.25</f>
        <v>731.25</v>
      </c>
      <c r="C85" s="3">
        <f>1020</f>
        <v>1020</v>
      </c>
      <c r="D85" s="2"/>
    </row>
    <row r="86" spans="1:4" x14ac:dyDescent="0.25">
      <c r="A86" s="1" t="s">
        <v>60</v>
      </c>
      <c r="B86" s="4">
        <f>(B84)+(B85)</f>
        <v>12731.25</v>
      </c>
      <c r="C86" s="4">
        <f>(C84)+(C85)</f>
        <v>9020</v>
      </c>
      <c r="D86" s="4">
        <f>(D84)+(D85)</f>
        <v>8930</v>
      </c>
    </row>
    <row r="87" spans="1:4" x14ac:dyDescent="0.25">
      <c r="A87" s="1" t="s">
        <v>61</v>
      </c>
      <c r="B87" s="3">
        <f>550</f>
        <v>550</v>
      </c>
      <c r="C87" s="3">
        <f>625</f>
        <v>625</v>
      </c>
      <c r="D87" s="3">
        <f>625</f>
        <v>625</v>
      </c>
    </row>
    <row r="88" spans="1:4" x14ac:dyDescent="0.25">
      <c r="A88" s="1" t="s">
        <v>62</v>
      </c>
      <c r="B88" s="3">
        <f>153.7</f>
        <v>153.69999999999999</v>
      </c>
      <c r="C88" s="2"/>
      <c r="D88" s="3">
        <f>210</f>
        <v>210</v>
      </c>
    </row>
    <row r="89" spans="1:4" x14ac:dyDescent="0.25">
      <c r="A89" s="1" t="s">
        <v>63</v>
      </c>
      <c r="B89" s="3">
        <f>293.44</f>
        <v>293.44</v>
      </c>
      <c r="C89" s="3">
        <f>634.11</f>
        <v>634.11</v>
      </c>
      <c r="D89" s="3">
        <f>510.11</f>
        <v>510.11</v>
      </c>
    </row>
    <row r="90" spans="1:4" x14ac:dyDescent="0.25">
      <c r="A90" s="1" t="s">
        <v>64</v>
      </c>
      <c r="B90" s="3">
        <f>46.58</f>
        <v>46.58</v>
      </c>
      <c r="C90" s="3">
        <f>82.8</f>
        <v>82.8</v>
      </c>
      <c r="D90" s="3">
        <f>35.08</f>
        <v>35.08</v>
      </c>
    </row>
    <row r="91" spans="1:4" x14ac:dyDescent="0.25">
      <c r="A91" s="1" t="s">
        <v>65</v>
      </c>
      <c r="B91" s="3">
        <f>577.33</f>
        <v>577.33000000000004</v>
      </c>
      <c r="C91" s="3">
        <f>577.33</f>
        <v>577.33000000000004</v>
      </c>
      <c r="D91" s="2"/>
    </row>
    <row r="92" spans="1:4" x14ac:dyDescent="0.25">
      <c r="A92" s="1" t="s">
        <v>66</v>
      </c>
      <c r="B92" s="2"/>
      <c r="C92" s="3">
        <f>666</f>
        <v>666</v>
      </c>
      <c r="D92" s="3">
        <f>295</f>
        <v>295</v>
      </c>
    </row>
    <row r="93" spans="1:4" x14ac:dyDescent="0.25">
      <c r="A93" s="1" t="s">
        <v>67</v>
      </c>
      <c r="B93" s="3">
        <f>3108.3</f>
        <v>3108.3</v>
      </c>
      <c r="C93" s="3">
        <f>1867.68</f>
        <v>1867.68</v>
      </c>
      <c r="D93" s="2"/>
    </row>
    <row r="94" spans="1:4" x14ac:dyDescent="0.25">
      <c r="A94" s="1" t="s">
        <v>68</v>
      </c>
      <c r="B94" s="2"/>
      <c r="C94" s="3">
        <f>99.99</f>
        <v>99.99</v>
      </c>
      <c r="D94" s="2"/>
    </row>
    <row r="95" spans="1:4" x14ac:dyDescent="0.25">
      <c r="A95" s="1" t="s">
        <v>69</v>
      </c>
      <c r="B95" s="2"/>
      <c r="C95" s="2"/>
      <c r="D95" s="3">
        <f>33</f>
        <v>33</v>
      </c>
    </row>
    <row r="96" spans="1:4" x14ac:dyDescent="0.25">
      <c r="A96" s="1" t="s">
        <v>70</v>
      </c>
      <c r="B96" s="3">
        <f>21600</f>
        <v>21600</v>
      </c>
      <c r="C96" s="3">
        <f>-3000</f>
        <v>-3000</v>
      </c>
      <c r="D96" s="2"/>
    </row>
    <row r="97" spans="1:4" x14ac:dyDescent="0.25">
      <c r="A97" s="1" t="s">
        <v>71</v>
      </c>
      <c r="B97" s="3">
        <f>153.65</f>
        <v>153.65</v>
      </c>
      <c r="C97" s="3">
        <f>153.65</f>
        <v>153.65</v>
      </c>
      <c r="D97" s="3">
        <f>159.14</f>
        <v>159.13999999999999</v>
      </c>
    </row>
    <row r="98" spans="1:4" x14ac:dyDescent="0.25">
      <c r="A98" s="1" t="s">
        <v>72</v>
      </c>
      <c r="B98" s="2"/>
      <c r="C98" s="2"/>
      <c r="D98" s="3">
        <f>126</f>
        <v>126</v>
      </c>
    </row>
    <row r="99" spans="1:4" x14ac:dyDescent="0.25">
      <c r="A99" s="1" t="s">
        <v>95</v>
      </c>
      <c r="B99" s="3">
        <f>100</f>
        <v>100</v>
      </c>
      <c r="C99" s="2"/>
      <c r="D99" s="2"/>
    </row>
    <row r="100" spans="1:4" x14ac:dyDescent="0.25">
      <c r="A100" s="1" t="s">
        <v>73</v>
      </c>
      <c r="B100" s="4">
        <f>((((((((((((((((((((((((((((((((B51)+(B56))+(B57))+(B58))+(B59))+(B60))+(B61))+(B62))+(B63))+(B67))+(B68))+(B69))+(B70))+(B71))+(B72))+(B73))+(B74))+(B79))+(B83))+(B86))+(B87))+(B88))+(B89))+(B90))+(B91))+(B92))+(B93))+(B94))+(B95))+(B96))+(B97))+(B98))+(B99)</f>
        <v>103893.2</v>
      </c>
      <c r="C100" s="4">
        <f>((((((((((((((((((((((((((((((((C51)+(C56))+(C57))+(C58))+(C59))+(C60))+(C61))+(C62))+(C63))+(C67))+(C68))+(C69))+(C70))+(C71))+(C72))+(C73))+(C74))+(C79))+(C83))+(C86))+(C87))+(C88))+(C89))+(C90))+(C91))+(C92))+(C93))+(C94))+(C95))+(C96))+(C97))+(C98))+(C99)</f>
        <v>52049.140000000007</v>
      </c>
      <c r="D100" s="4">
        <f>((((((((((((((((((((((((((((((((D51)+(D56))+(D57))+(D58))+(D59))+(D60))+(D61))+(D62))+(D63))+(D67))+(D68))+(D69))+(D70))+(D71))+(D72))+(D73))+(D74))+(D79))+(D83))+(D86))+(D87))+(D88))+(D89))+(D90))+(D91))+(D92))+(D93))+(D94))+(D95))+(D96))+(D97))+(D98))+(D99)</f>
        <v>48800.100000000006</v>
      </c>
    </row>
    <row r="101" spans="1:4" x14ac:dyDescent="0.25">
      <c r="A101" s="1" t="s">
        <v>74</v>
      </c>
      <c r="B101" s="4">
        <f>(B49)-(B100)</f>
        <v>36134.780000000013</v>
      </c>
      <c r="C101" s="4">
        <f>(C49)-(C100)</f>
        <v>-9765.6700000000055</v>
      </c>
      <c r="D101" s="4">
        <f>(D49)-(D100)</f>
        <v>53652.469999999987</v>
      </c>
    </row>
    <row r="102" spans="1:4" x14ac:dyDescent="0.25">
      <c r="A102" s="1" t="s">
        <v>75</v>
      </c>
      <c r="B102" s="4">
        <f>(B101)+(0)</f>
        <v>36134.780000000013</v>
      </c>
      <c r="C102" s="4">
        <f>(C101)+(0)</f>
        <v>-9765.6700000000055</v>
      </c>
      <c r="D102" s="4">
        <f>(D101)+(0)</f>
        <v>53652.469999999987</v>
      </c>
    </row>
    <row r="103" spans="1:4" x14ac:dyDescent="0.25">
      <c r="A103" s="1"/>
      <c r="B103" s="2"/>
      <c r="C103" s="2"/>
      <c r="D103" s="2"/>
    </row>
    <row r="106" spans="1:4" x14ac:dyDescent="0.25">
      <c r="A106" s="69" t="s">
        <v>118</v>
      </c>
      <c r="B106" s="67"/>
      <c r="C106" s="67"/>
      <c r="D106" s="67"/>
    </row>
  </sheetData>
  <mergeCells count="4">
    <mergeCell ref="A1:D1"/>
    <mergeCell ref="A2:D2"/>
    <mergeCell ref="A3:D3"/>
    <mergeCell ref="A106:D10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DF809B926CF7439D272B93A9DDD852" ma:contentTypeVersion="10" ma:contentTypeDescription="Create a new document." ma:contentTypeScope="" ma:versionID="f8655b4196f57a6b22edd11e7d94a43d">
  <xsd:schema xmlns:xsd="http://www.w3.org/2001/XMLSchema" xmlns:xs="http://www.w3.org/2001/XMLSchema" xmlns:p="http://schemas.microsoft.com/office/2006/metadata/properties" xmlns:ns3="4d36fbe1-c665-4b1f-a847-a1cbc7f7e9b1" targetNamespace="http://schemas.microsoft.com/office/2006/metadata/properties" ma:root="true" ma:fieldsID="6d80ab793d12a7d183aa427b19cc2471" ns3:_="">
    <xsd:import namespace="4d36fbe1-c665-4b1f-a847-a1cbc7f7e9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6fbe1-c665-4b1f-a847-a1cbc7f7e9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B2484B-9538-468A-8E47-A7083EBB27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3F204E-8465-46F1-BBDF-938FF6E56C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36fbe1-c665-4b1f-a847-a1cbc7f7e9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177649-894B-4FC5-921A-08491534D9D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FYE Budget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Lance Akridge</cp:lastModifiedBy>
  <dcterms:created xsi:type="dcterms:W3CDTF">2020-04-30T23:55:05Z</dcterms:created>
  <dcterms:modified xsi:type="dcterms:W3CDTF">2021-01-27T16:06:59Z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0x010100D0DF809B926CF7439D272B93A9DDD852</vt:lpwstr>
  </property>
</Properties>
</file>