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G\Board agenda.minutes\August 2021\"/>
    </mc:Choice>
  </mc:AlternateContent>
  <xr:revisionPtr revIDLastSave="0" documentId="8_{CD5BA7E9-DE81-4F78-ABB9-CCA89914731D}" xr6:coauthVersionLast="47" xr6:coauthVersionMax="47" xr10:uidLastSave="{00000000-0000-0000-0000-000000000000}"/>
  <bookViews>
    <workbookView xWindow="20370" yWindow="-120" windowWidth="24240" windowHeight="13140" activeTab="3" xr2:uid="{48CF9499-558F-4EB7-A7DD-DF242FD6A89A}"/>
  </bookViews>
  <sheets>
    <sheet name="Food Outreach detail" sheetId="1" r:id="rId1"/>
    <sheet name="Health Literacy Detail" sheetId="2" r:id="rId2"/>
    <sheet name="staff allocation" sheetId="4" r:id="rId3"/>
    <sheet name="FY22 OVerall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3" i="1"/>
  <c r="B22" i="1"/>
  <c r="B35" i="3" l="1"/>
  <c r="B45" i="3" s="1"/>
  <c r="B13" i="4"/>
  <c r="B6" i="4"/>
  <c r="B7" i="4"/>
  <c r="B24" i="3"/>
  <c r="B20" i="3"/>
  <c r="B22" i="3"/>
  <c r="B23" i="3"/>
  <c r="B49" i="3"/>
  <c r="B13" i="3"/>
  <c r="B15" i="3" s="1"/>
  <c r="B54" i="3" l="1"/>
  <c r="B29" i="3"/>
  <c r="B56" i="3" l="1"/>
  <c r="B59" i="3" l="1"/>
  <c r="B57" i="3"/>
  <c r="B62" i="3"/>
  <c r="B61" i="3" l="1"/>
  <c r="B60" i="3"/>
  <c r="B63" i="3" l="1"/>
  <c r="B10" i="2"/>
  <c r="B8" i="2"/>
  <c r="B4" i="2"/>
  <c r="B7" i="1"/>
  <c r="B6" i="1"/>
  <c r="B9" i="1"/>
  <c r="B16" i="1"/>
  <c r="B15" i="1"/>
  <c r="B5" i="1"/>
  <c r="B11" i="1" l="1"/>
  <c r="B18" i="1" s="1"/>
  <c r="B12" i="1" l="1"/>
  <c r="B19" i="1"/>
  <c r="B20" i="1" s="1"/>
</calcChain>
</file>

<file path=xl/sharedStrings.xml><?xml version="1.0" encoding="utf-8"?>
<sst xmlns="http://schemas.openxmlformats.org/spreadsheetml/2006/main" count="128" uniqueCount="124">
  <si>
    <t>NGHF Food Outreach Program Budget - FY 22</t>
  </si>
  <si>
    <t>Category</t>
  </si>
  <si>
    <t>Cost</t>
  </si>
  <si>
    <t>comment</t>
  </si>
  <si>
    <t>Food Totes</t>
  </si>
  <si>
    <t>Food totes cost: food/produce</t>
  </si>
  <si>
    <t xml:space="preserve"> Staffing  - volunteer recruit/deliver mgt</t>
  </si>
  <si>
    <t>Organic upgrade</t>
  </si>
  <si>
    <t>Staffing - partnership mgt</t>
  </si>
  <si>
    <t>12 month goal of 5200 deliveries with 32 meal equivalents</t>
  </si>
  <si>
    <t>$1.20 each/delivery of 32 meal equivalent requires 2 totes</t>
  </si>
  <si>
    <t>Rent/utilities</t>
  </si>
  <si>
    <t>$20 sq ft/400 sq ft</t>
  </si>
  <si>
    <t>phone</t>
  </si>
  <si>
    <t>New rolling shelving</t>
  </si>
  <si>
    <t>12 units at $200 each/holding 3200 pounds</t>
  </si>
  <si>
    <t>3 hours weekly</t>
  </si>
  <si>
    <t>with all expenses</t>
  </si>
  <si>
    <t>total</t>
  </si>
  <si>
    <t>subtotal</t>
  </si>
  <si>
    <t>per bag delivered</t>
  </si>
  <si>
    <t>total per bag delivered</t>
  </si>
  <si>
    <t>cost per meal delivered</t>
  </si>
  <si>
    <t>Grant writing</t>
  </si>
  <si>
    <t>$8k monthly for produce/$7,500 for shelf/$3k protein</t>
  </si>
  <si>
    <t>28 hours weekly (ordering, receiving, recruiting, packing, distribution)</t>
  </si>
  <si>
    <t>NGHF Health Literacy Program</t>
  </si>
  <si>
    <t>Comments</t>
  </si>
  <si>
    <t>Program management</t>
  </si>
  <si>
    <t>HLM contract</t>
  </si>
  <si>
    <t>Collateral design and video</t>
  </si>
  <si>
    <t xml:space="preserve">Printing </t>
  </si>
  <si>
    <t>12 fliers, posters and bookmarks</t>
  </si>
  <si>
    <t>9% of staff</t>
  </si>
  <si>
    <t>Forum</t>
  </si>
  <si>
    <t>logistics</t>
  </si>
  <si>
    <t>Forum Staff</t>
  </si>
  <si>
    <t>10% of staff</t>
  </si>
  <si>
    <t>FY22 overall budget</t>
  </si>
  <si>
    <t>Nashville General Hospital Foundation - FY2020/21 Budget</t>
  </si>
  <si>
    <t>Budget</t>
  </si>
  <si>
    <t>Notes</t>
  </si>
  <si>
    <t>Income</t>
  </si>
  <si>
    <t>Restricted</t>
  </si>
  <si>
    <t>Individual/Foundation/Corporate Restricted Grants</t>
  </si>
  <si>
    <t>Woman2Woman - Food Pharmacy</t>
  </si>
  <si>
    <t>Unrestricted</t>
  </si>
  <si>
    <t>Individual &amp; Hospital Employee Giving+ Woman2Woman Nashville</t>
  </si>
  <si>
    <t>Interest</t>
  </si>
  <si>
    <t>In-kind Donations</t>
  </si>
  <si>
    <t>Total</t>
  </si>
  <si>
    <t>Salaries &amp; Benefits inkind from NGH for 2 FTEs</t>
  </si>
  <si>
    <t>Execuitve Director/Volunteer Coordinator</t>
  </si>
  <si>
    <t>Expense</t>
  </si>
  <si>
    <t>Program Services</t>
  </si>
  <si>
    <t>Staff &amp; Benefits for Program Services - direct engagement</t>
  </si>
  <si>
    <t>Patient /Oncology Care</t>
  </si>
  <si>
    <t>Prostate Cancer Clinics</t>
  </si>
  <si>
    <t>Patient Support</t>
  </si>
  <si>
    <t>Employee Support Fund</t>
  </si>
  <si>
    <t>Employee giving funds this account</t>
  </si>
  <si>
    <t>Patient Prescripton Underwriting*</t>
  </si>
  <si>
    <t>Supporting medication for indigent patients</t>
  </si>
  <si>
    <t>Hall Scholarship Fund</t>
  </si>
  <si>
    <t>Nursing Scholarship Award - from Employee Giving</t>
  </si>
  <si>
    <t>Secret Santa for Neighborhood Children</t>
  </si>
  <si>
    <t>Employee supported activity</t>
  </si>
  <si>
    <t>Program Services TOTAL</t>
  </si>
  <si>
    <t>Management &amp; Administration</t>
  </si>
  <si>
    <t>Licenses &amp; Permits</t>
  </si>
  <si>
    <t>State etc</t>
  </si>
  <si>
    <t>Education</t>
  </si>
  <si>
    <t>Travel &amp; Mileage</t>
  </si>
  <si>
    <t>1500 miles annually</t>
  </si>
  <si>
    <t>Postage &amp; Mailings</t>
  </si>
  <si>
    <t>Dues &amp; Subscriptions</t>
  </si>
  <si>
    <t>Meals &amp; Meetings</t>
  </si>
  <si>
    <t>Meals for donor cultivation onsite</t>
  </si>
  <si>
    <t>Accounting Fees</t>
  </si>
  <si>
    <t>Insurance/Officers' Liability</t>
  </si>
  <si>
    <t>Insurance/Volunteer Liability</t>
  </si>
  <si>
    <t>Printing</t>
  </si>
  <si>
    <t>Cards/posters</t>
  </si>
  <si>
    <t>Equipment</t>
  </si>
  <si>
    <t>Printer//shelving for storage/artwork signage/locking hangers</t>
  </si>
  <si>
    <t>Office Supplies</t>
  </si>
  <si>
    <t>Commitment to Cash reserves</t>
  </si>
  <si>
    <t>MGT &amp; Administration TOTAL</t>
  </si>
  <si>
    <t>Fundraising Expense</t>
  </si>
  <si>
    <t>Staff &amp; Benefits</t>
  </si>
  <si>
    <t>Subscriptions</t>
  </si>
  <si>
    <t>Website and database annual fee</t>
  </si>
  <si>
    <t>NGH Employee Campaign Expense</t>
  </si>
  <si>
    <t>Oranges/Drop-boxes/posters</t>
  </si>
  <si>
    <t>Woman2Woman Invites/Holiday Meals Cards/Envelopes   ( NGH Employee Campaign)</t>
  </si>
  <si>
    <t>Postage &amp; Mailing</t>
  </si>
  <si>
    <t>invites/holiday cares</t>
  </si>
  <si>
    <t>Special Event</t>
  </si>
  <si>
    <t>Likely no special event until 2022</t>
  </si>
  <si>
    <t>Fundraising Expense TOTAL</t>
  </si>
  <si>
    <t>Total Expense Budget</t>
  </si>
  <si>
    <t>Net Income</t>
  </si>
  <si>
    <t>Total Operating</t>
  </si>
  <si>
    <t>Programs</t>
  </si>
  <si>
    <t>Mgt &amp; Administration</t>
  </si>
  <si>
    <t>Fundraising</t>
  </si>
  <si>
    <t>Food Outreach Program</t>
  </si>
  <si>
    <t>Food Outreach Program (plus Food Pharmacy for few months)</t>
  </si>
  <si>
    <t>allocated in specific programs</t>
  </si>
  <si>
    <t>Health Literacy; Patient Support, Food Totes; staff</t>
  </si>
  <si>
    <t>State Grant = Health Literacy</t>
  </si>
  <si>
    <t>Exec/Vol</t>
  </si>
  <si>
    <t>Staff support</t>
  </si>
  <si>
    <t>allocation</t>
  </si>
  <si>
    <t>fundraising</t>
  </si>
  <si>
    <t>Organization mgt</t>
  </si>
  <si>
    <t>Health Literacy</t>
  </si>
  <si>
    <t>Other programs</t>
  </si>
  <si>
    <t xml:space="preserve">Salaries </t>
  </si>
  <si>
    <t xml:space="preserve">   - oncology</t>
  </si>
  <si>
    <t xml:space="preserve">   -  ECC</t>
  </si>
  <si>
    <t xml:space="preserve">   -  med fund</t>
  </si>
  <si>
    <t>Online search databased for grants and cloud storage</t>
  </si>
  <si>
    <t>Health Literacy NGH/COVID-19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</si>
</sst>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44" fontId="0" fillId="0" borderId="1" xfId="1" applyNumberFormat="1" applyFont="1" applyBorder="1"/>
    <xf numFmtId="0" fontId="3" fillId="0" borderId="1" xfId="0" applyFont="1" applyBorder="1"/>
    <xf numFmtId="44" fontId="3" fillId="0" borderId="1" xfId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/>
    <xf numFmtId="0" fontId="4" fillId="0" borderId="1" xfId="0" applyFont="1" applyBorder="1" applyAlignment="1">
      <alignment horizontal="center" wrapText="1"/>
    </xf>
    <xf numFmtId="44" fontId="4" fillId="0" borderId="1" xfId="1" applyFont="1" applyFill="1" applyBorder="1"/>
    <xf numFmtId="0" fontId="4" fillId="0" borderId="0" xfId="0" applyFont="1"/>
    <xf numFmtId="44" fontId="4" fillId="0" borderId="0" xfId="1" applyFont="1"/>
    <xf numFmtId="44" fontId="3" fillId="0" borderId="1" xfId="1" applyFont="1" applyFill="1" applyBorder="1"/>
    <xf numFmtId="0" fontId="4" fillId="0" borderId="0" xfId="0" applyFont="1" applyAlignment="1">
      <alignment horizontal="center"/>
    </xf>
    <xf numFmtId="9" fontId="4" fillId="0" borderId="0" xfId="2" applyFont="1"/>
    <xf numFmtId="9" fontId="4" fillId="0" borderId="0" xfId="1" applyNumberFormat="1" applyFont="1"/>
    <xf numFmtId="13" fontId="3" fillId="0" borderId="1" xfId="1" applyNumberFormat="1" applyFont="1" applyBorder="1"/>
    <xf numFmtId="165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000AA-4F15-4A7A-AF6B-4F5A2966F50D}">
  <dimension ref="A1:C25"/>
  <sheetViews>
    <sheetView topLeftCell="A2" workbookViewId="0">
      <selection activeCell="C18" sqref="C18"/>
    </sheetView>
  </sheetViews>
  <sheetFormatPr defaultRowHeight="15" x14ac:dyDescent="0.25"/>
  <cols>
    <col min="1" max="1" width="37.42578125" customWidth="1"/>
    <col min="2" max="2" width="15" customWidth="1"/>
    <col min="3" max="3" width="62.5703125" customWidth="1"/>
  </cols>
  <sheetData>
    <row r="1" spans="1:3" x14ac:dyDescent="0.25">
      <c r="A1" t="s">
        <v>0</v>
      </c>
    </row>
    <row r="2" spans="1:3" x14ac:dyDescent="0.25">
      <c r="A2" t="s">
        <v>9</v>
      </c>
    </row>
    <row r="4" spans="1:3" x14ac:dyDescent="0.25">
      <c r="A4" s="2" t="s">
        <v>1</v>
      </c>
      <c r="B4" s="2" t="s">
        <v>2</v>
      </c>
      <c r="C4" s="2" t="s">
        <v>3</v>
      </c>
    </row>
    <row r="5" spans="1:3" x14ac:dyDescent="0.25">
      <c r="A5" s="3" t="s">
        <v>4</v>
      </c>
      <c r="B5" s="4">
        <f>10400*1.2</f>
        <v>12480</v>
      </c>
      <c r="C5" s="3" t="s">
        <v>10</v>
      </c>
    </row>
    <row r="6" spans="1:3" x14ac:dyDescent="0.25">
      <c r="A6" s="3" t="s">
        <v>5</v>
      </c>
      <c r="B6" s="4">
        <f>18500*12</f>
        <v>222000</v>
      </c>
      <c r="C6" s="3" t="s">
        <v>24</v>
      </c>
    </row>
    <row r="7" spans="1:3" x14ac:dyDescent="0.25">
      <c r="A7" s="3" t="s">
        <v>6</v>
      </c>
      <c r="B7" s="4">
        <f>0.7*(55000*1.25)</f>
        <v>48125</v>
      </c>
      <c r="C7" s="3" t="s">
        <v>25</v>
      </c>
    </row>
    <row r="8" spans="1:3" x14ac:dyDescent="0.25">
      <c r="A8" s="3" t="s">
        <v>7</v>
      </c>
      <c r="B8" s="4">
        <v>10000</v>
      </c>
      <c r="C8" s="3"/>
    </row>
    <row r="9" spans="1:3" x14ac:dyDescent="0.25">
      <c r="A9" s="3" t="s">
        <v>8</v>
      </c>
      <c r="B9" s="4">
        <f>0.075*(55000*1.25)</f>
        <v>5156.25</v>
      </c>
      <c r="C9" s="3" t="s">
        <v>16</v>
      </c>
    </row>
    <row r="10" spans="1:3" x14ac:dyDescent="0.25">
      <c r="A10" s="3" t="s">
        <v>13</v>
      </c>
      <c r="B10" s="4">
        <v>1200</v>
      </c>
    </row>
    <row r="11" spans="1:3" x14ac:dyDescent="0.25">
      <c r="A11" s="3" t="s">
        <v>19</v>
      </c>
      <c r="B11" s="4">
        <f>SUM(B5:B10)</f>
        <v>298961.25</v>
      </c>
    </row>
    <row r="12" spans="1:3" x14ac:dyDescent="0.25">
      <c r="A12" s="3" t="s">
        <v>20</v>
      </c>
      <c r="B12" s="5">
        <f>+B11/5200</f>
        <v>57.492548076923079</v>
      </c>
    </row>
    <row r="13" spans="1:3" x14ac:dyDescent="0.25">
      <c r="A13" s="3"/>
      <c r="B13" s="4"/>
    </row>
    <row r="14" spans="1:3" x14ac:dyDescent="0.25">
      <c r="A14" s="2" t="s">
        <v>17</v>
      </c>
      <c r="B14" s="4"/>
    </row>
    <row r="15" spans="1:3" x14ac:dyDescent="0.25">
      <c r="A15" s="3" t="s">
        <v>11</v>
      </c>
      <c r="B15" s="4">
        <f>400*20*12</f>
        <v>96000</v>
      </c>
      <c r="C15" s="3" t="s">
        <v>12</v>
      </c>
    </row>
    <row r="16" spans="1:3" x14ac:dyDescent="0.25">
      <c r="A16" s="3" t="s">
        <v>14</v>
      </c>
      <c r="B16" s="4">
        <f>12*200</f>
        <v>2400</v>
      </c>
      <c r="C16" s="3" t="s">
        <v>15</v>
      </c>
    </row>
    <row r="17" spans="1:2" x14ac:dyDescent="0.25">
      <c r="A17" s="3" t="s">
        <v>23</v>
      </c>
      <c r="B17" s="4">
        <v>25000</v>
      </c>
    </row>
    <row r="18" spans="1:2" x14ac:dyDescent="0.25">
      <c r="A18" s="3" t="s">
        <v>18</v>
      </c>
      <c r="B18" s="4">
        <f>+B11+B15+B16+B17</f>
        <v>422361.25</v>
      </c>
    </row>
    <row r="19" spans="1:2" x14ac:dyDescent="0.25">
      <c r="A19" s="3" t="s">
        <v>21</v>
      </c>
      <c r="B19" s="5">
        <f>+B18/5200</f>
        <v>81.223317307692312</v>
      </c>
    </row>
    <row r="20" spans="1:2" x14ac:dyDescent="0.25">
      <c r="A20" s="3" t="s">
        <v>22</v>
      </c>
      <c r="B20" s="5">
        <f>+B19/32</f>
        <v>2.5382286658653848</v>
      </c>
    </row>
    <row r="22" spans="1:2" x14ac:dyDescent="0.25">
      <c r="B22" s="21">
        <f>+B7+B9</f>
        <v>53281.25</v>
      </c>
    </row>
    <row r="23" spans="1:2" x14ac:dyDescent="0.25">
      <c r="B23" s="21">
        <f>+B5+B6</f>
        <v>234480</v>
      </c>
    </row>
    <row r="25" spans="1:2" x14ac:dyDescent="0.25">
      <c r="B25">
        <f>10000+386361+25000</f>
        <v>421361</v>
      </c>
    </row>
  </sheetData>
  <pageMargins left="0.7" right="0.7" top="0.75" bottom="0.75" header="0.3" footer="0.3"/>
  <pageSetup orientation="portrait" horizontalDpi="204" verticalDpi="1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BF68-F15D-4B71-9DE5-A7DA92B5FD7F}">
  <dimension ref="A1:C21"/>
  <sheetViews>
    <sheetView workbookViewId="0">
      <selection activeCell="B8" sqref="B8"/>
    </sheetView>
  </sheetViews>
  <sheetFormatPr defaultRowHeight="15" x14ac:dyDescent="0.25"/>
  <cols>
    <col min="1" max="1" width="37.5703125" customWidth="1"/>
    <col min="2" max="2" width="13" customWidth="1"/>
    <col min="3" max="3" width="44.28515625" customWidth="1"/>
  </cols>
  <sheetData>
    <row r="1" spans="1:3" x14ac:dyDescent="0.25">
      <c r="A1" t="s">
        <v>26</v>
      </c>
    </row>
    <row r="3" spans="1:3" x14ac:dyDescent="0.25">
      <c r="A3" t="s">
        <v>1</v>
      </c>
      <c r="B3" t="s">
        <v>2</v>
      </c>
      <c r="C3" t="s">
        <v>27</v>
      </c>
    </row>
    <row r="4" spans="1:3" x14ac:dyDescent="0.25">
      <c r="A4" t="s">
        <v>28</v>
      </c>
      <c r="B4" s="1">
        <f>10350+(10350*0.35)</f>
        <v>13972.5</v>
      </c>
      <c r="C4" t="s">
        <v>33</v>
      </c>
    </row>
    <row r="5" spans="1:3" x14ac:dyDescent="0.25">
      <c r="A5" t="s">
        <v>29</v>
      </c>
      <c r="B5" s="1">
        <v>70600</v>
      </c>
      <c r="C5" t="s">
        <v>30</v>
      </c>
    </row>
    <row r="6" spans="1:3" x14ac:dyDescent="0.25">
      <c r="A6" t="s">
        <v>31</v>
      </c>
      <c r="B6" s="1">
        <v>24854</v>
      </c>
      <c r="C6" t="s">
        <v>32</v>
      </c>
    </row>
    <row r="7" spans="1:3" x14ac:dyDescent="0.25">
      <c r="A7" t="s">
        <v>34</v>
      </c>
      <c r="B7" s="1">
        <v>3000</v>
      </c>
      <c r="C7" t="s">
        <v>35</v>
      </c>
    </row>
    <row r="8" spans="1:3" x14ac:dyDescent="0.25">
      <c r="A8" t="s">
        <v>36</v>
      </c>
      <c r="B8" s="1">
        <f>0.1*(115000*1.35)</f>
        <v>15525</v>
      </c>
      <c r="C8" t="s">
        <v>37</v>
      </c>
    </row>
    <row r="9" spans="1:3" x14ac:dyDescent="0.25">
      <c r="B9" s="1"/>
    </row>
    <row r="10" spans="1:3" x14ac:dyDescent="0.25">
      <c r="B10" s="1">
        <f>SUM(B4:B9)</f>
        <v>127951.5</v>
      </c>
    </row>
    <row r="11" spans="1:3" x14ac:dyDescent="0.25">
      <c r="B11" s="1"/>
    </row>
    <row r="12" spans="1:3" x14ac:dyDescent="0.25">
      <c r="B12" s="1"/>
    </row>
    <row r="13" spans="1:3" x14ac:dyDescent="0.25">
      <c r="B13" s="1"/>
    </row>
    <row r="14" spans="1:3" x14ac:dyDescent="0.25">
      <c r="B14" s="1"/>
    </row>
    <row r="15" spans="1:3" x14ac:dyDescent="0.25">
      <c r="B15" s="1"/>
    </row>
    <row r="16" spans="1:3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1F67-8F0E-40BB-B2F3-67505ED52041}">
  <dimension ref="A1:B16"/>
  <sheetViews>
    <sheetView workbookViewId="0">
      <selection activeCell="G9" sqref="G9"/>
    </sheetView>
  </sheetViews>
  <sheetFormatPr defaultRowHeight="15" x14ac:dyDescent="0.25"/>
  <cols>
    <col min="1" max="1" width="43.85546875" customWidth="1"/>
    <col min="2" max="2" width="13.5703125" customWidth="1"/>
  </cols>
  <sheetData>
    <row r="1" spans="1:2" x14ac:dyDescent="0.25">
      <c r="A1" t="s">
        <v>112</v>
      </c>
    </row>
    <row r="3" spans="1:2" x14ac:dyDescent="0.25">
      <c r="A3" t="s">
        <v>113</v>
      </c>
      <c r="B3" s="1"/>
    </row>
    <row r="4" spans="1:2" x14ac:dyDescent="0.25">
      <c r="A4" t="s">
        <v>114</v>
      </c>
      <c r="B4" s="1">
        <v>25000</v>
      </c>
    </row>
    <row r="5" spans="1:2" x14ac:dyDescent="0.25">
      <c r="A5" t="s">
        <v>115</v>
      </c>
      <c r="B5" s="1">
        <v>5000</v>
      </c>
    </row>
    <row r="6" spans="1:2" x14ac:dyDescent="0.25">
      <c r="A6" t="s">
        <v>106</v>
      </c>
      <c r="B6" s="1">
        <f>+'Food Outreach detail'!B17+'Food Outreach detail'!B7+'Food Outreach detail'!B9</f>
        <v>78281.25</v>
      </c>
    </row>
    <row r="7" spans="1:2" x14ac:dyDescent="0.25">
      <c r="A7" t="s">
        <v>116</v>
      </c>
      <c r="B7" s="1">
        <f>+'Health Literacy Detail'!B8+'Health Literacy Detail'!B4</f>
        <v>29497.5</v>
      </c>
    </row>
    <row r="8" spans="1:2" x14ac:dyDescent="0.25">
      <c r="A8" t="s">
        <v>117</v>
      </c>
      <c r="B8" s="1"/>
    </row>
    <row r="9" spans="1:2" x14ac:dyDescent="0.25">
      <c r="A9" t="s">
        <v>119</v>
      </c>
      <c r="B9" s="1">
        <v>8000</v>
      </c>
    </row>
    <row r="10" spans="1:2" x14ac:dyDescent="0.25">
      <c r="A10" t="s">
        <v>120</v>
      </c>
      <c r="B10" s="1">
        <v>5000</v>
      </c>
    </row>
    <row r="11" spans="1:2" x14ac:dyDescent="0.25">
      <c r="A11" t="s">
        <v>121</v>
      </c>
      <c r="B11" s="1">
        <v>1000</v>
      </c>
    </row>
    <row r="12" spans="1:2" x14ac:dyDescent="0.25">
      <c r="B12" s="1"/>
    </row>
    <row r="13" spans="1:2" x14ac:dyDescent="0.25">
      <c r="B13" s="1">
        <f>SUM(B4:B12)</f>
        <v>151778.75</v>
      </c>
    </row>
    <row r="14" spans="1:2" x14ac:dyDescent="0.25">
      <c r="B14" s="1"/>
    </row>
    <row r="15" spans="1:2" x14ac:dyDescent="0.25">
      <c r="B15" s="1"/>
    </row>
    <row r="16" spans="1:2" x14ac:dyDescent="0.25">
      <c r="B1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69F5-E509-4F8D-A262-F5FEB0B2DB00}">
  <dimension ref="A1:H63"/>
  <sheetViews>
    <sheetView tabSelected="1" workbookViewId="0">
      <selection activeCell="L28" sqref="L28"/>
    </sheetView>
  </sheetViews>
  <sheetFormatPr defaultRowHeight="15" x14ac:dyDescent="0.25"/>
  <cols>
    <col min="1" max="1" width="32.7109375" customWidth="1"/>
    <col min="2" max="2" width="26.28515625" customWidth="1"/>
    <col min="3" max="3" width="54.42578125" customWidth="1"/>
  </cols>
  <sheetData>
    <row r="1" spans="1:3" x14ac:dyDescent="0.25">
      <c r="A1" t="s">
        <v>38</v>
      </c>
    </row>
    <row r="3" spans="1:3" ht="16.5" x14ac:dyDescent="0.3">
      <c r="A3" s="6" t="s">
        <v>39</v>
      </c>
      <c r="B3" s="7"/>
      <c r="C3" s="8"/>
    </row>
    <row r="4" spans="1:3" ht="16.5" x14ac:dyDescent="0.3">
      <c r="A4" s="6"/>
      <c r="B4" s="7" t="s">
        <v>40</v>
      </c>
      <c r="C4" s="8" t="s">
        <v>41</v>
      </c>
    </row>
    <row r="5" spans="1:3" ht="16.5" x14ac:dyDescent="0.3">
      <c r="A5" s="6"/>
      <c r="B5" s="20">
        <v>0.95454545454545459</v>
      </c>
      <c r="C5" s="8"/>
    </row>
    <row r="6" spans="1:3" ht="16.5" x14ac:dyDescent="0.3">
      <c r="A6" s="6" t="s">
        <v>42</v>
      </c>
      <c r="B6" s="7"/>
      <c r="C6" s="10"/>
    </row>
    <row r="7" spans="1:3" ht="16.5" x14ac:dyDescent="0.3">
      <c r="A7" s="9" t="s">
        <v>43</v>
      </c>
      <c r="B7" s="11">
        <v>450000</v>
      </c>
      <c r="C7" s="10" t="s">
        <v>44</v>
      </c>
    </row>
    <row r="8" spans="1:3" ht="16.5" x14ac:dyDescent="0.3">
      <c r="A8" s="9"/>
      <c r="B8" s="11"/>
      <c r="C8" s="10" t="s">
        <v>45</v>
      </c>
    </row>
    <row r="9" spans="1:3" ht="16.5" x14ac:dyDescent="0.3">
      <c r="A9" s="9" t="s">
        <v>110</v>
      </c>
      <c r="B9" s="11">
        <v>171003</v>
      </c>
      <c r="C9" s="10"/>
    </row>
    <row r="10" spans="1:3" ht="33" x14ac:dyDescent="0.3">
      <c r="A10" s="9" t="s">
        <v>46</v>
      </c>
      <c r="B10" s="11">
        <v>117000</v>
      </c>
      <c r="C10" s="12" t="s">
        <v>47</v>
      </c>
    </row>
    <row r="11" spans="1:3" ht="16.5" x14ac:dyDescent="0.3">
      <c r="A11" s="9" t="s">
        <v>48</v>
      </c>
      <c r="B11" s="11"/>
      <c r="C11" s="10"/>
    </row>
    <row r="12" spans="1:3" ht="16.5" x14ac:dyDescent="0.3">
      <c r="A12" s="9" t="s">
        <v>49</v>
      </c>
      <c r="B12" s="11"/>
      <c r="C12" s="10"/>
    </row>
    <row r="13" spans="1:3" ht="16.5" x14ac:dyDescent="0.3">
      <c r="A13" s="6" t="s">
        <v>50</v>
      </c>
      <c r="B13" s="7">
        <f>SUM(B7:B12)</f>
        <v>738003</v>
      </c>
      <c r="C13" s="10"/>
    </row>
    <row r="14" spans="1:3" ht="16.5" x14ac:dyDescent="0.3">
      <c r="A14" s="9" t="s">
        <v>51</v>
      </c>
      <c r="B14" s="13"/>
      <c r="C14" s="10" t="s">
        <v>52</v>
      </c>
    </row>
    <row r="15" spans="1:3" ht="16.5" x14ac:dyDescent="0.3">
      <c r="A15" s="14"/>
      <c r="B15" s="15">
        <f>SUM(B13:B14)</f>
        <v>738003</v>
      </c>
      <c r="C15" s="10"/>
    </row>
    <row r="16" spans="1:3" ht="16.5" x14ac:dyDescent="0.3">
      <c r="A16" s="9"/>
      <c r="B16" s="11"/>
      <c r="C16" s="10"/>
    </row>
    <row r="17" spans="1:3" ht="16.5" x14ac:dyDescent="0.3">
      <c r="A17" s="6" t="s">
        <v>53</v>
      </c>
      <c r="B17" s="7"/>
      <c r="C17" s="10"/>
    </row>
    <row r="18" spans="1:3" ht="16.5" x14ac:dyDescent="0.3">
      <c r="A18" s="6" t="s">
        <v>54</v>
      </c>
      <c r="B18" s="7"/>
      <c r="C18" s="10"/>
    </row>
    <row r="19" spans="1:3" ht="16.5" x14ac:dyDescent="0.3">
      <c r="A19" s="9" t="s">
        <v>55</v>
      </c>
      <c r="B19" s="13"/>
      <c r="C19" s="10" t="s">
        <v>108</v>
      </c>
    </row>
    <row r="20" spans="1:3" ht="16.5" x14ac:dyDescent="0.3">
      <c r="A20" s="9" t="s">
        <v>56</v>
      </c>
      <c r="B20" s="13">
        <f>30000+8000</f>
        <v>38000</v>
      </c>
      <c r="C20" s="10" t="s">
        <v>109</v>
      </c>
    </row>
    <row r="21" spans="1:3" ht="16.5" x14ac:dyDescent="0.3">
      <c r="A21" s="9" t="s">
        <v>57</v>
      </c>
      <c r="B21" s="13"/>
      <c r="C21" s="10" t="s">
        <v>58</v>
      </c>
    </row>
    <row r="22" spans="1:3" ht="16.5" x14ac:dyDescent="0.3">
      <c r="A22" s="9" t="s">
        <v>59</v>
      </c>
      <c r="B22" s="13">
        <f>20000+5000</f>
        <v>25000</v>
      </c>
      <c r="C22" s="10" t="s">
        <v>60</v>
      </c>
    </row>
    <row r="23" spans="1:3" ht="16.5" x14ac:dyDescent="0.3">
      <c r="A23" s="9" t="s">
        <v>106</v>
      </c>
      <c r="B23" s="13">
        <f>+'Food Outreach detail'!B18</f>
        <v>422361.25</v>
      </c>
      <c r="C23" s="10" t="s">
        <v>107</v>
      </c>
    </row>
    <row r="24" spans="1:3" ht="16.5" x14ac:dyDescent="0.3">
      <c r="A24" s="9" t="s">
        <v>61</v>
      </c>
      <c r="B24" s="13">
        <f>24000+1000</f>
        <v>25000</v>
      </c>
      <c r="C24" s="10" t="s">
        <v>62</v>
      </c>
    </row>
    <row r="25" spans="1:3" ht="16.5" x14ac:dyDescent="0.3">
      <c r="A25" s="9" t="s">
        <v>63</v>
      </c>
      <c r="B25" s="13">
        <v>1500</v>
      </c>
      <c r="C25" s="10" t="s">
        <v>64</v>
      </c>
    </row>
    <row r="26" spans="1:3" ht="16.5" x14ac:dyDescent="0.3">
      <c r="A26" s="9" t="s">
        <v>123</v>
      </c>
      <c r="B26" s="13">
        <v>171003</v>
      </c>
      <c r="C26" s="10"/>
    </row>
    <row r="27" spans="1:3" ht="16.5" x14ac:dyDescent="0.3">
      <c r="A27" s="9" t="s">
        <v>65</v>
      </c>
      <c r="B27" s="13">
        <v>1000</v>
      </c>
      <c r="C27" s="10" t="s">
        <v>66</v>
      </c>
    </row>
    <row r="28" spans="1:3" ht="16.5" x14ac:dyDescent="0.3">
      <c r="A28" s="9"/>
      <c r="B28" s="13"/>
      <c r="C28" s="10"/>
    </row>
    <row r="29" spans="1:3" ht="16.5" x14ac:dyDescent="0.3">
      <c r="A29" s="6" t="s">
        <v>67</v>
      </c>
      <c r="B29" s="16">
        <f>SUM(B17:B28)</f>
        <v>683864.25</v>
      </c>
      <c r="C29" s="10"/>
    </row>
    <row r="30" spans="1:3" ht="16.5" x14ac:dyDescent="0.3">
      <c r="A30" s="6" t="s">
        <v>68</v>
      </c>
      <c r="B30" s="16"/>
      <c r="C30" s="10"/>
    </row>
    <row r="31" spans="1:3" ht="16.5" x14ac:dyDescent="0.3">
      <c r="A31" s="9" t="s">
        <v>69</v>
      </c>
      <c r="B31" s="11">
        <v>1500</v>
      </c>
      <c r="C31" s="10" t="s">
        <v>70</v>
      </c>
    </row>
    <row r="32" spans="1:3" ht="16.5" x14ac:dyDescent="0.3">
      <c r="A32" s="9" t="s">
        <v>71</v>
      </c>
      <c r="B32" s="11">
        <v>350</v>
      </c>
      <c r="C32" s="10"/>
    </row>
    <row r="33" spans="1:8" ht="16.5" x14ac:dyDescent="0.3">
      <c r="A33" s="9" t="s">
        <v>72</v>
      </c>
      <c r="B33" s="11">
        <v>500</v>
      </c>
      <c r="C33" s="10" t="s">
        <v>73</v>
      </c>
    </row>
    <row r="34" spans="1:8" ht="16.5" x14ac:dyDescent="0.3">
      <c r="A34" s="9" t="s">
        <v>74</v>
      </c>
      <c r="B34" s="11">
        <v>450</v>
      </c>
      <c r="C34" s="10"/>
    </row>
    <row r="35" spans="1:8" ht="16.5" x14ac:dyDescent="0.3">
      <c r="A35" s="9" t="s">
        <v>75</v>
      </c>
      <c r="B35" s="11">
        <f>750+(80*12)</f>
        <v>1710</v>
      </c>
      <c r="C35" s="10" t="s">
        <v>122</v>
      </c>
    </row>
    <row r="36" spans="1:8" ht="16.5" x14ac:dyDescent="0.3">
      <c r="A36" s="9" t="s">
        <v>76</v>
      </c>
      <c r="B36" s="11">
        <v>400</v>
      </c>
      <c r="C36" s="10" t="s">
        <v>77</v>
      </c>
    </row>
    <row r="37" spans="1:8" ht="16.5" x14ac:dyDescent="0.3">
      <c r="A37" s="9" t="s">
        <v>78</v>
      </c>
      <c r="B37" s="11">
        <v>6500</v>
      </c>
      <c r="C37" s="10"/>
    </row>
    <row r="38" spans="1:8" ht="16.5" x14ac:dyDescent="0.3">
      <c r="A38" s="9" t="s">
        <v>79</v>
      </c>
      <c r="B38" s="11">
        <v>1300</v>
      </c>
      <c r="C38" s="10"/>
    </row>
    <row r="39" spans="1:8" ht="16.5" x14ac:dyDescent="0.3">
      <c r="A39" s="9" t="s">
        <v>80</v>
      </c>
      <c r="B39" s="11">
        <v>600</v>
      </c>
      <c r="C39" s="10"/>
      <c r="H39">
        <v>738003</v>
      </c>
    </row>
    <row r="40" spans="1:8" ht="16.5" x14ac:dyDescent="0.3">
      <c r="A40" s="9" t="s">
        <v>81</v>
      </c>
      <c r="B40" s="11">
        <v>300</v>
      </c>
      <c r="C40" s="10" t="s">
        <v>82</v>
      </c>
    </row>
    <row r="41" spans="1:8" ht="16.5" x14ac:dyDescent="0.3">
      <c r="A41" s="9" t="s">
        <v>83</v>
      </c>
      <c r="B41" s="11">
        <v>2400</v>
      </c>
      <c r="C41" s="10" t="s">
        <v>84</v>
      </c>
    </row>
    <row r="42" spans="1:8" ht="16.5" x14ac:dyDescent="0.3">
      <c r="A42" s="9" t="s">
        <v>85</v>
      </c>
      <c r="B42" s="11">
        <v>300</v>
      </c>
      <c r="C42" s="10"/>
    </row>
    <row r="43" spans="1:8" ht="16.5" x14ac:dyDescent="0.3">
      <c r="A43" s="9" t="s">
        <v>118</v>
      </c>
      <c r="B43" s="11">
        <v>5000</v>
      </c>
      <c r="C43" s="10"/>
    </row>
    <row r="44" spans="1:8" ht="16.5" x14ac:dyDescent="0.3">
      <c r="A44" s="9" t="s">
        <v>86</v>
      </c>
      <c r="B44" s="11"/>
      <c r="C44" s="10"/>
    </row>
    <row r="45" spans="1:8" ht="16.5" x14ac:dyDescent="0.3">
      <c r="A45" s="6" t="s">
        <v>87</v>
      </c>
      <c r="B45" s="7">
        <f>SUM(B31:B44)</f>
        <v>21310</v>
      </c>
      <c r="C45" s="10"/>
    </row>
    <row r="46" spans="1:8" ht="16.5" x14ac:dyDescent="0.3">
      <c r="A46" s="9"/>
      <c r="B46" s="11"/>
      <c r="C46" s="10"/>
    </row>
    <row r="47" spans="1:8" ht="16.5" x14ac:dyDescent="0.3">
      <c r="A47" s="6" t="s">
        <v>88</v>
      </c>
      <c r="B47" s="7"/>
      <c r="C47" s="10"/>
    </row>
    <row r="48" spans="1:8" ht="16.5" x14ac:dyDescent="0.3">
      <c r="A48" s="9" t="s">
        <v>89</v>
      </c>
      <c r="B48" s="11">
        <v>25000</v>
      </c>
      <c r="C48" s="10" t="s">
        <v>111</v>
      </c>
    </row>
    <row r="49" spans="1:3" ht="16.5" x14ac:dyDescent="0.3">
      <c r="A49" s="9" t="s">
        <v>90</v>
      </c>
      <c r="B49" s="11">
        <f>1800+395</f>
        <v>2195</v>
      </c>
      <c r="C49" s="10" t="s">
        <v>91</v>
      </c>
    </row>
    <row r="50" spans="1:3" ht="16.5" x14ac:dyDescent="0.3">
      <c r="A50" s="9" t="s">
        <v>92</v>
      </c>
      <c r="B50" s="11">
        <v>3000</v>
      </c>
      <c r="C50" s="10" t="s">
        <v>93</v>
      </c>
    </row>
    <row r="51" spans="1:3" ht="33" x14ac:dyDescent="0.3">
      <c r="A51" s="9" t="s">
        <v>81</v>
      </c>
      <c r="B51" s="11">
        <v>1500</v>
      </c>
      <c r="C51" s="12" t="s">
        <v>94</v>
      </c>
    </row>
    <row r="52" spans="1:3" ht="16.5" x14ac:dyDescent="0.3">
      <c r="A52" s="9" t="s">
        <v>95</v>
      </c>
      <c r="B52" s="11">
        <v>600</v>
      </c>
      <c r="C52" s="10" t="s">
        <v>96</v>
      </c>
    </row>
    <row r="53" spans="1:3" ht="16.5" x14ac:dyDescent="0.3">
      <c r="A53" s="9" t="s">
        <v>97</v>
      </c>
      <c r="B53" s="11"/>
      <c r="C53" s="10" t="s">
        <v>98</v>
      </c>
    </row>
    <row r="54" spans="1:3" ht="16.5" x14ac:dyDescent="0.3">
      <c r="A54" s="6" t="s">
        <v>99</v>
      </c>
      <c r="B54" s="7">
        <f>SUM(B48:B53)</f>
        <v>32295</v>
      </c>
      <c r="C54" s="10"/>
    </row>
    <row r="55" spans="1:3" ht="16.5" x14ac:dyDescent="0.3">
      <c r="A55" s="6"/>
      <c r="B55" s="7"/>
      <c r="C55" s="10"/>
    </row>
    <row r="56" spans="1:3" ht="16.5" x14ac:dyDescent="0.3">
      <c r="A56" s="9" t="s">
        <v>100</v>
      </c>
      <c r="B56" s="11">
        <f>+B54+B45+B29</f>
        <v>737469.25</v>
      </c>
      <c r="C56" s="10"/>
    </row>
    <row r="57" spans="1:3" ht="16.5" x14ac:dyDescent="0.3">
      <c r="A57" s="6" t="s">
        <v>101</v>
      </c>
      <c r="B57" s="7">
        <f>+B15-B56</f>
        <v>533.75</v>
      </c>
      <c r="C57" s="10"/>
    </row>
    <row r="58" spans="1:3" ht="16.5" x14ac:dyDescent="0.3">
      <c r="A58" s="14"/>
      <c r="B58" s="15"/>
      <c r="C58" s="17"/>
    </row>
    <row r="59" spans="1:3" ht="16.5" x14ac:dyDescent="0.3">
      <c r="A59" s="14" t="s">
        <v>102</v>
      </c>
      <c r="B59" s="15">
        <f>+B56</f>
        <v>737469.25</v>
      </c>
      <c r="C59" s="17"/>
    </row>
    <row r="60" spans="1:3" ht="16.5" x14ac:dyDescent="0.3">
      <c r="A60" s="14" t="s">
        <v>103</v>
      </c>
      <c r="B60" s="18">
        <f>+B29/B59</f>
        <v>0.92731222352660803</v>
      </c>
      <c r="C60" s="17"/>
    </row>
    <row r="61" spans="1:3" ht="16.5" x14ac:dyDescent="0.3">
      <c r="A61" s="14" t="s">
        <v>104</v>
      </c>
      <c r="B61" s="18">
        <f>+B45/B59</f>
        <v>2.8896120075515012E-2</v>
      </c>
      <c r="C61" s="17"/>
    </row>
    <row r="62" spans="1:3" ht="16.5" x14ac:dyDescent="0.3">
      <c r="A62" s="14" t="s">
        <v>105</v>
      </c>
      <c r="B62" s="18">
        <f>+B54/B56</f>
        <v>4.3791656397876931E-2</v>
      </c>
      <c r="C62" s="17"/>
    </row>
    <row r="63" spans="1:3" ht="16.5" x14ac:dyDescent="0.3">
      <c r="A63" s="14"/>
      <c r="B63" s="19">
        <f>SUM(B60:B62)</f>
        <v>1</v>
      </c>
      <c r="C6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Food Outreach detail</vt:lpstr>
      <vt:lpstr>Health Literacy Detail</vt:lpstr>
      <vt:lpstr>staff allocation</vt:lpstr>
      <vt:lpstr>FY22 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Vernon</dc:creator>
  <cp:lastModifiedBy>Rose, Vernon</cp:lastModifiedBy>
  <dcterms:created xsi:type="dcterms:W3CDTF">2021-07-29T14:23:42Z</dcterms:created>
  <dcterms:modified xsi:type="dcterms:W3CDTF">2021-08-04T19:39:25Z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d05f11-d75e-4c57-a223-e2e499ab30a4_Enabled">
    <vt:lpwstr>true</vt:lpwstr>
  </property>
  <property fmtid="{D5CDD505-2E9C-101B-9397-08002B2CF9AE}" pid="3" name="MSIP_Label_6ad05f11-d75e-4c57-a223-e2e499ab30a4_SetDate">
    <vt:lpwstr>2021-07-29T14:23:42Z</vt:lpwstr>
  </property>
  <property fmtid="{D5CDD505-2E9C-101B-9397-08002B2CF9AE}" pid="4" name="MSIP_Label_6ad05f11-d75e-4c57-a223-e2e499ab30a4_Method">
    <vt:lpwstr>Standard</vt:lpwstr>
  </property>
  <property fmtid="{D5CDD505-2E9C-101B-9397-08002B2CF9AE}" pid="5" name="MSIP_Label_6ad05f11-d75e-4c57-a223-e2e499ab30a4_Name">
    <vt:lpwstr>US SSN</vt:lpwstr>
  </property>
  <property fmtid="{D5CDD505-2E9C-101B-9397-08002B2CF9AE}" pid="6" name="MSIP_Label_6ad05f11-d75e-4c57-a223-e2e499ab30a4_SiteId">
    <vt:lpwstr>c836c082-24a7-4766-aa3b-cd4332a491fe</vt:lpwstr>
  </property>
  <property fmtid="{D5CDD505-2E9C-101B-9397-08002B2CF9AE}" pid="7" name="MSIP_Label_6ad05f11-d75e-4c57-a223-e2e499ab30a4_ActionId">
    <vt:lpwstr>4b35a25d-4cac-4009-b288-8ad8f7776c3d</vt:lpwstr>
  </property>
  <property fmtid="{D5CDD505-2E9C-101B-9397-08002B2CF9AE}" pid="8" name="MSIP_Label_6ad05f11-d75e-4c57-a223-e2e499ab30a4_ContentBits">
    <vt:lpwstr>0</vt:lpwstr>
  </property>
</Properties>
</file>