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BUSINESS OFFICE\Financial Reports\"/>
    </mc:Choice>
  </mc:AlternateContent>
  <xr:revisionPtr revIDLastSave="0" documentId="13_ncr:1_{ECFD8EEE-80CE-4A90-B81D-7A623A646AC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Budget Overview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1" i="1" l="1"/>
  <c r="B110" i="1"/>
  <c r="B107" i="1"/>
  <c r="B106" i="1"/>
  <c r="B108" i="1" s="1"/>
  <c r="B105" i="1"/>
  <c r="B104" i="1"/>
  <c r="B103" i="1"/>
  <c r="B102" i="1"/>
  <c r="B101" i="1"/>
  <c r="B100" i="1"/>
  <c r="B99" i="1"/>
  <c r="B98" i="1"/>
  <c r="B96" i="1"/>
  <c r="B94" i="1"/>
  <c r="B93" i="1"/>
  <c r="B92" i="1"/>
  <c r="B91" i="1"/>
  <c r="B90" i="1"/>
  <c r="B88" i="1"/>
  <c r="B87" i="1"/>
  <c r="B86" i="1"/>
  <c r="B85" i="1"/>
  <c r="B89" i="1" s="1"/>
  <c r="B84" i="1"/>
  <c r="B83" i="1"/>
  <c r="B81" i="1"/>
  <c r="B80" i="1"/>
  <c r="B79" i="1"/>
  <c r="B78" i="1"/>
  <c r="B77" i="1"/>
  <c r="B75" i="1"/>
  <c r="B74" i="1"/>
  <c r="B73" i="1"/>
  <c r="B72" i="1"/>
  <c r="B76" i="1" s="1"/>
  <c r="B71" i="1"/>
  <c r="B70" i="1"/>
  <c r="B68" i="1"/>
  <c r="B69" i="1" s="1"/>
  <c r="B67" i="1"/>
  <c r="B66" i="1"/>
  <c r="B65" i="1"/>
  <c r="B64" i="1"/>
  <c r="B63" i="1"/>
  <c r="B62" i="1"/>
  <c r="B61" i="1"/>
  <c r="B60" i="1"/>
  <c r="B59" i="1"/>
  <c r="B57" i="1"/>
  <c r="B56" i="1"/>
  <c r="B58" i="1" s="1"/>
  <c r="B55" i="1"/>
  <c r="B54" i="1"/>
  <c r="B53" i="1"/>
  <c r="B51" i="1"/>
  <c r="B50" i="1"/>
  <c r="B52" i="1" s="1"/>
  <c r="B49" i="1"/>
  <c r="B48" i="1"/>
  <c r="B47" i="1"/>
  <c r="B46" i="1"/>
  <c r="B45" i="1"/>
  <c r="B44" i="1"/>
  <c r="B43" i="1"/>
  <c r="B38" i="1"/>
  <c r="B37" i="1"/>
  <c r="B36" i="1"/>
  <c r="B35" i="1"/>
  <c r="B34" i="1"/>
  <c r="B33" i="1"/>
  <c r="B32" i="1"/>
  <c r="B31" i="1"/>
  <c r="B30" i="1"/>
  <c r="B29" i="1"/>
  <c r="B27" i="1"/>
  <c r="B26" i="1"/>
  <c r="B28" i="1" s="1"/>
  <c r="B25" i="1"/>
  <c r="B23" i="1"/>
  <c r="B22" i="1"/>
  <c r="B20" i="1"/>
  <c r="B19" i="1"/>
  <c r="B18" i="1"/>
  <c r="B16" i="1"/>
  <c r="B15" i="1"/>
  <c r="B17" i="1" s="1"/>
  <c r="B14" i="1"/>
  <c r="B13" i="1"/>
  <c r="B11" i="1"/>
  <c r="B10" i="1"/>
  <c r="B8" i="1"/>
  <c r="B9" i="1" s="1"/>
  <c r="B21" i="1" l="1"/>
  <c r="B40" i="1" s="1"/>
  <c r="B41" i="1" s="1"/>
  <c r="B95" i="1"/>
  <c r="B82" i="1"/>
  <c r="B39" i="1"/>
  <c r="B109" i="1"/>
  <c r="B112" i="1" s="1"/>
  <c r="B113" i="1" l="1"/>
  <c r="B114" i="1" s="1"/>
</calcChain>
</file>

<file path=xl/sharedStrings.xml><?xml version="1.0" encoding="utf-8"?>
<sst xmlns="http://schemas.openxmlformats.org/spreadsheetml/2006/main" count="113" uniqueCount="113">
  <si>
    <t>Total</t>
  </si>
  <si>
    <t>Revenue</t>
  </si>
  <si>
    <t xml:space="preserve">   400633 Early Learning</t>
  </si>
  <si>
    <t xml:space="preserve">      400632 Dept of Education</t>
  </si>
  <si>
    <t xml:space="preserve">   Total 400633 Early Learning</t>
  </si>
  <si>
    <t xml:space="preserve">   420324 Rental Income</t>
  </si>
  <si>
    <t xml:space="preserve">   430002 Services</t>
  </si>
  <si>
    <t xml:space="preserve">   440000 Contributed income</t>
  </si>
  <si>
    <t xml:space="preserve">      440001 Corporate &amp; foundation grants</t>
  </si>
  <si>
    <t xml:space="preserve">      440002 Donation</t>
  </si>
  <si>
    <t xml:space="preserve">      440003 Donations directed by individuals</t>
  </si>
  <si>
    <t xml:space="preserve">         Scholarships</t>
  </si>
  <si>
    <t xml:space="preserve">      Total 440003 Donations directed by individuals</t>
  </si>
  <si>
    <t xml:space="preserve">      440004 Fundraisers &amp; Events</t>
  </si>
  <si>
    <t xml:space="preserve">      440005 Government grants &amp; contracts</t>
  </si>
  <si>
    <t xml:space="preserve">      440006 United Way Revenue</t>
  </si>
  <si>
    <t xml:space="preserve">   Total 440000 Contributed income</t>
  </si>
  <si>
    <t xml:space="preserve">   440007 Grants</t>
  </si>
  <si>
    <t xml:space="preserve">   999999 Uncategorized Income</t>
  </si>
  <si>
    <t xml:space="preserve">   Adult Services</t>
  </si>
  <si>
    <t xml:space="preserve">      420000 Private Pay</t>
  </si>
  <si>
    <t xml:space="preserve">      420001 DIDD Res</t>
  </si>
  <si>
    <t xml:space="preserve">         420007 Residential Services</t>
  </si>
  <si>
    <t xml:space="preserve">      Total 420001 DIDD Res</t>
  </si>
  <si>
    <t xml:space="preserve">      420002 Choices</t>
  </si>
  <si>
    <t xml:space="preserve">      420003 Community Participation</t>
  </si>
  <si>
    <t xml:space="preserve">      420004 ECF</t>
  </si>
  <si>
    <t xml:space="preserve">      420005 Employment Support</t>
  </si>
  <si>
    <t xml:space="preserve">      420006 Facility Based</t>
  </si>
  <si>
    <t xml:space="preserve">      420008 Respite</t>
  </si>
  <si>
    <t xml:space="preserve">      420009 Special Needs Adjustment</t>
  </si>
  <si>
    <t xml:space="preserve">      420010 Supported Independent Living</t>
  </si>
  <si>
    <t xml:space="preserve">      420011 Wrap Around</t>
  </si>
  <si>
    <t xml:space="preserve">      420121 Room and Board</t>
  </si>
  <si>
    <t xml:space="preserve">   Total Adult Services</t>
  </si>
  <si>
    <t>Total Revenue</t>
  </si>
  <si>
    <t>Gross Profit</t>
  </si>
  <si>
    <t>Expenditures</t>
  </si>
  <si>
    <t xml:space="preserve">   500010 Advertising &amp; marketing</t>
  </si>
  <si>
    <t xml:space="preserve">   500020 Awards &amp; grants to others</t>
  </si>
  <si>
    <t xml:space="preserve">   500030 Client Spending Reimbursement</t>
  </si>
  <si>
    <t xml:space="preserve">   500040 Donation to United Way</t>
  </si>
  <si>
    <t xml:space="preserve">   500060 Food &amp; Supply Reimbursement</t>
  </si>
  <si>
    <t xml:space="preserve">   500080 Fundraising Expenses</t>
  </si>
  <si>
    <t xml:space="preserve">   500085 Location Rental</t>
  </si>
  <si>
    <t xml:space="preserve">   500090 Insurance</t>
  </si>
  <si>
    <t xml:space="preserve">      500120 Property insurance</t>
  </si>
  <si>
    <t xml:space="preserve">   Total 500090 Insurance</t>
  </si>
  <si>
    <t xml:space="preserve">   500130 Repairs &amp; maintenance</t>
  </si>
  <si>
    <t xml:space="preserve">   500140 Occupancy</t>
  </si>
  <si>
    <t xml:space="preserve">      500150 Cleaning</t>
  </si>
  <si>
    <t xml:space="preserve">      500160 Utilities</t>
  </si>
  <si>
    <t xml:space="preserve">      570000 Rent</t>
  </si>
  <si>
    <t xml:space="preserve">   Total 500140 Occupancy</t>
  </si>
  <si>
    <t xml:space="preserve">   501000 Payroll expenses</t>
  </si>
  <si>
    <t xml:space="preserve">      500000 Salaries &amp; wages</t>
  </si>
  <si>
    <t xml:space="preserve">      500070 Group Insurance</t>
  </si>
  <si>
    <t xml:space="preserve">      500200 Payroll Tax Expense</t>
  </si>
  <si>
    <t xml:space="preserve">      501100 Employee retirement plan</t>
  </si>
  <si>
    <t xml:space="preserve">      501300 Group term life insurance</t>
  </si>
  <si>
    <t xml:space="preserve">      501400 Health insurance &amp; accident plans</t>
  </si>
  <si>
    <t xml:space="preserve">      501700 Salaries-OT</t>
  </si>
  <si>
    <t xml:space="preserve">      501800 Unemployment</t>
  </si>
  <si>
    <t xml:space="preserve">      501850 Workers' compensation insurance</t>
  </si>
  <si>
    <t xml:space="preserve">   Total 501000 Payroll expenses</t>
  </si>
  <si>
    <t xml:space="preserve">   501900 Rent-Buildings</t>
  </si>
  <si>
    <t xml:space="preserve">   520425 S.L. Staff Support</t>
  </si>
  <si>
    <t xml:space="preserve">   521000 Travel</t>
  </si>
  <si>
    <t xml:space="preserve">      527000 Travel</t>
  </si>
  <si>
    <t xml:space="preserve">      528000 Vehicle rental</t>
  </si>
  <si>
    <t xml:space="preserve">      Taxis or shared rides</t>
  </si>
  <si>
    <t xml:space="preserve">   Total 521000 Travel</t>
  </si>
  <si>
    <t xml:space="preserve">   522000 Staff Incentives</t>
  </si>
  <si>
    <t xml:space="preserve">   523000 Supplies</t>
  </si>
  <si>
    <t xml:space="preserve">      520410 Recreation</t>
  </si>
  <si>
    <t xml:space="preserve">      524000 Food</t>
  </si>
  <si>
    <t xml:space="preserve">      526000 Supplies &amp; materials</t>
  </si>
  <si>
    <t xml:space="preserve">   Total 523000 Supplies</t>
  </si>
  <si>
    <t xml:space="preserve">   529999 Unapplied Cash Bill Payment Expenditure</t>
  </si>
  <si>
    <t xml:space="preserve">   536901 Communication</t>
  </si>
  <si>
    <t xml:space="preserve">   550000 Professional Services</t>
  </si>
  <si>
    <t xml:space="preserve">      550010 Accounting fees</t>
  </si>
  <si>
    <t xml:space="preserve">      550020 HR Services</t>
  </si>
  <si>
    <t xml:space="preserve">      551000 Professional Fees, Dues, or Training Registration</t>
  </si>
  <si>
    <t xml:space="preserve">   Total 550000 Professional Services</t>
  </si>
  <si>
    <t xml:space="preserve">   581200 Vehicle expenses</t>
  </si>
  <si>
    <t xml:space="preserve">      581000 Vehicle gas &amp; fuel</t>
  </si>
  <si>
    <t xml:space="preserve">      581400 Vehicle registration</t>
  </si>
  <si>
    <t xml:space="preserve">      581500 Vehicle wash &amp; road services</t>
  </si>
  <si>
    <t xml:space="preserve">      582000 Vehicle repairs</t>
  </si>
  <si>
    <t xml:space="preserve">   Total 581200 Vehicle expenses</t>
  </si>
  <si>
    <t xml:space="preserve">   597901 Information Tech</t>
  </si>
  <si>
    <t xml:space="preserve">   600110 Office expenses</t>
  </si>
  <si>
    <t xml:space="preserve">      600030 Internet &amp; TV services</t>
  </si>
  <si>
    <t xml:space="preserve">      600040 Memberships &amp; subscriptions</t>
  </si>
  <si>
    <t xml:space="preserve">      600050 Phone Service</t>
  </si>
  <si>
    <t xml:space="preserve">      600060 Printing &amp; photocopying</t>
  </si>
  <si>
    <t xml:space="preserve">      600070 Shipping &amp; postage</t>
  </si>
  <si>
    <t xml:space="preserve">      600080 Small tools &amp; equipment</t>
  </si>
  <si>
    <t xml:space="preserve">      600090 Software &amp; apps</t>
  </si>
  <si>
    <t xml:space="preserve">      600100 Technology Related Purchases</t>
  </si>
  <si>
    <t xml:space="preserve">      609121 Bank fees &amp; service charges</t>
  </si>
  <si>
    <t xml:space="preserve">         600010 Bank Fees</t>
  </si>
  <si>
    <t xml:space="preserve">      Total 609121 Bank fees &amp; service charges</t>
  </si>
  <si>
    <t xml:space="preserve">   Total 600110 Office expenses</t>
  </si>
  <si>
    <t xml:space="preserve">   600120 QuickBooks Payments Fees</t>
  </si>
  <si>
    <t xml:space="preserve">   Subcriptions</t>
  </si>
  <si>
    <t>Total Expenditures</t>
  </si>
  <si>
    <t>Net Operating Revenue</t>
  </si>
  <si>
    <t>Net Revenue</t>
  </si>
  <si>
    <t>Waves, Inc.</t>
  </si>
  <si>
    <t>Budget Overview: Budget 2024 - FY24 P&amp;L  Classes</t>
  </si>
  <si>
    <t>July 2023 - June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</si>
</sst>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€"/>
    <numFmt numFmtId="165" formatCode="&quot;$&quot;* #,##0.00\ _€"/>
  </numFmts>
  <fonts count="6" x14ac:knownFonts="1">
    <font>
      <sz val="11"/>
      <color indexed="8"/>
      <name val="Calibri"/>
      <family val="2"/>
      <scheme val="minor"/>
    </font>
    <font>
      <b/>
      <sz val="9"/>
      <color indexed="8"/>
      <name val="Arial"/>
    </font>
    <font>
      <b/>
      <sz val="8"/>
      <color indexed="8"/>
      <name val="Arial"/>
    </font>
    <font>
      <sz val="8"/>
      <color indexed="8"/>
      <name val="Arial"/>
    </font>
    <font>
      <b/>
      <sz val="14"/>
      <color indexed="8"/>
      <name val="Arial"/>
    </font>
    <font>
      <b/>
      <sz val="10"/>
      <color indexed="8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164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 horizontal="right" wrapText="1"/>
    </xf>
    <xf numFmtId="165" fontId="2" fillId="0" borderId="2" xfId="0" applyNumberFormat="1" applyFont="1" applyBorder="1" applyAlignment="1">
      <alignment horizontal="right" wrapText="1"/>
    </xf>
    <xf numFmtId="165" fontId="2" fillId="0" borderId="3" xfId="0" applyNumberFormat="1" applyFont="1" applyBorder="1" applyAlignment="1">
      <alignment horizontal="right" wrapText="1"/>
    </xf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15"/>
  <sheetViews>
    <sheetView tabSelected="1" workbookViewId="0">
      <selection activeCell="A118" sqref="A118:XFD118"/>
    </sheetView>
  </sheetViews>
  <sheetFormatPr defaultRowHeight="15" x14ac:dyDescent="0.25"/>
  <cols>
    <col min="1" max="1" width="54.140625" customWidth="1"/>
    <col min="2" max="2" width="42.140625" customWidth="1"/>
  </cols>
  <sheetData>
    <row r="1" spans="1:2" ht="18" x14ac:dyDescent="0.25">
      <c r="A1" s="9" t="s">
        <v>110</v>
      </c>
      <c r="B1" s="8"/>
    </row>
    <row r="2" spans="1:2" ht="18" x14ac:dyDescent="0.25">
      <c r="A2" s="9" t="s">
        <v>111</v>
      </c>
      <c r="B2" s="8"/>
    </row>
    <row r="3" spans="1:2" x14ac:dyDescent="0.25">
      <c r="A3" s="10" t="s">
        <v>112</v>
      </c>
      <c r="B3" s="8"/>
    </row>
    <row r="5" spans="1:2" x14ac:dyDescent="0.25">
      <c r="A5" s="1"/>
      <c r="B5" s="2" t="s">
        <v>0</v>
      </c>
    </row>
    <row r="6" spans="1:2" x14ac:dyDescent="0.25">
      <c r="A6" s="3" t="s">
        <v>1</v>
      </c>
      <c r="B6" s="4"/>
    </row>
    <row r="7" spans="1:2" x14ac:dyDescent="0.25">
      <c r="A7" s="3" t="s">
        <v>2</v>
      </c>
      <c r="B7" s="4"/>
    </row>
    <row r="8" spans="1:2" x14ac:dyDescent="0.25">
      <c r="A8" s="3" t="s">
        <v>3</v>
      </c>
      <c r="B8" s="5">
        <f>828000</f>
        <v>828000</v>
      </c>
    </row>
    <row r="9" spans="1:2" x14ac:dyDescent="0.25">
      <c r="A9" s="3" t="s">
        <v>4</v>
      </c>
      <c r="B9" s="6">
        <f>(B7)+(B8)</f>
        <v>828000</v>
      </c>
    </row>
    <row r="10" spans="1:2" x14ac:dyDescent="0.25">
      <c r="A10" s="3" t="s">
        <v>5</v>
      </c>
      <c r="B10" s="5">
        <f>20000</f>
        <v>20000</v>
      </c>
    </row>
    <row r="11" spans="1:2" x14ac:dyDescent="0.25">
      <c r="A11" s="3" t="s">
        <v>6</v>
      </c>
      <c r="B11" s="5">
        <f>16953</f>
        <v>16953</v>
      </c>
    </row>
    <row r="12" spans="1:2" x14ac:dyDescent="0.25">
      <c r="A12" s="3" t="s">
        <v>7</v>
      </c>
      <c r="B12" s="4"/>
    </row>
    <row r="13" spans="1:2" x14ac:dyDescent="0.25">
      <c r="A13" s="3" t="s">
        <v>8</v>
      </c>
      <c r="B13" s="5">
        <f>2400</f>
        <v>2400</v>
      </c>
    </row>
    <row r="14" spans="1:2" x14ac:dyDescent="0.25">
      <c r="A14" s="3" t="s">
        <v>9</v>
      </c>
      <c r="B14" s="5">
        <f>13382</f>
        <v>13382</v>
      </c>
    </row>
    <row r="15" spans="1:2" x14ac:dyDescent="0.25">
      <c r="A15" s="3" t="s">
        <v>10</v>
      </c>
      <c r="B15" s="5">
        <f>93093</f>
        <v>93093</v>
      </c>
    </row>
    <row r="16" spans="1:2" x14ac:dyDescent="0.25">
      <c r="A16" s="3" t="s">
        <v>11</v>
      </c>
      <c r="B16" s="5">
        <f>0</f>
        <v>0</v>
      </c>
    </row>
    <row r="17" spans="1:2" x14ac:dyDescent="0.25">
      <c r="A17" s="3" t="s">
        <v>12</v>
      </c>
      <c r="B17" s="6">
        <f>(B15)+(B16)</f>
        <v>93093</v>
      </c>
    </row>
    <row r="18" spans="1:2" x14ac:dyDescent="0.25">
      <c r="A18" s="3" t="s">
        <v>13</v>
      </c>
      <c r="B18" s="5">
        <f>35667</f>
        <v>35667</v>
      </c>
    </row>
    <row r="19" spans="1:2" x14ac:dyDescent="0.25">
      <c r="A19" s="3" t="s">
        <v>14</v>
      </c>
      <c r="B19" s="5">
        <f>75967</f>
        <v>75967</v>
      </c>
    </row>
    <row r="20" spans="1:2" x14ac:dyDescent="0.25">
      <c r="A20" s="3" t="s">
        <v>15</v>
      </c>
      <c r="B20" s="5">
        <f>126751</f>
        <v>126751</v>
      </c>
    </row>
    <row r="21" spans="1:2" x14ac:dyDescent="0.25">
      <c r="A21" s="3" t="s">
        <v>16</v>
      </c>
      <c r="B21" s="6">
        <f>((((((B12)+(B13))+(B14))+(B17))+(B18))+(B19))+(B20)</f>
        <v>347260</v>
      </c>
    </row>
    <row r="22" spans="1:2" x14ac:dyDescent="0.25">
      <c r="A22" s="3" t="s">
        <v>17</v>
      </c>
      <c r="B22" s="5">
        <f>0</f>
        <v>0</v>
      </c>
    </row>
    <row r="23" spans="1:2" x14ac:dyDescent="0.25">
      <c r="A23" s="3" t="s">
        <v>18</v>
      </c>
      <c r="B23" s="5">
        <f>0</f>
        <v>0</v>
      </c>
    </row>
    <row r="24" spans="1:2" x14ac:dyDescent="0.25">
      <c r="A24" s="3" t="s">
        <v>19</v>
      </c>
      <c r="B24" s="4"/>
    </row>
    <row r="25" spans="1:2" x14ac:dyDescent="0.25">
      <c r="A25" s="3" t="s">
        <v>20</v>
      </c>
      <c r="B25" s="5">
        <f>38317</f>
        <v>38317</v>
      </c>
    </row>
    <row r="26" spans="1:2" x14ac:dyDescent="0.25">
      <c r="A26" s="3" t="s">
        <v>21</v>
      </c>
      <c r="B26" s="5">
        <f>1214379</f>
        <v>1214379</v>
      </c>
    </row>
    <row r="27" spans="1:2" x14ac:dyDescent="0.25">
      <c r="A27" s="3" t="s">
        <v>22</v>
      </c>
      <c r="B27" s="5">
        <f>0</f>
        <v>0</v>
      </c>
    </row>
    <row r="28" spans="1:2" x14ac:dyDescent="0.25">
      <c r="A28" s="3" t="s">
        <v>23</v>
      </c>
      <c r="B28" s="6">
        <f>(B26)+(B27)</f>
        <v>1214379</v>
      </c>
    </row>
    <row r="29" spans="1:2" x14ac:dyDescent="0.25">
      <c r="A29" s="3" t="s">
        <v>24</v>
      </c>
      <c r="B29" s="5">
        <f>173365</f>
        <v>173365</v>
      </c>
    </row>
    <row r="30" spans="1:2" x14ac:dyDescent="0.25">
      <c r="A30" s="3" t="s">
        <v>25</v>
      </c>
      <c r="B30" s="5">
        <f>152174</f>
        <v>152174</v>
      </c>
    </row>
    <row r="31" spans="1:2" x14ac:dyDescent="0.25">
      <c r="A31" s="3" t="s">
        <v>26</v>
      </c>
      <c r="B31" s="5">
        <f>116232</f>
        <v>116232</v>
      </c>
    </row>
    <row r="32" spans="1:2" x14ac:dyDescent="0.25">
      <c r="A32" s="3" t="s">
        <v>27</v>
      </c>
      <c r="B32" s="5">
        <f>6300</f>
        <v>6300</v>
      </c>
    </row>
    <row r="33" spans="1:2" x14ac:dyDescent="0.25">
      <c r="A33" s="3" t="s">
        <v>28</v>
      </c>
      <c r="B33" s="5">
        <f>169279</f>
        <v>169279</v>
      </c>
    </row>
    <row r="34" spans="1:2" x14ac:dyDescent="0.25">
      <c r="A34" s="3" t="s">
        <v>29</v>
      </c>
      <c r="B34" s="5">
        <f>0</f>
        <v>0</v>
      </c>
    </row>
    <row r="35" spans="1:2" x14ac:dyDescent="0.25">
      <c r="A35" s="3" t="s">
        <v>30</v>
      </c>
      <c r="B35" s="5">
        <f>12775</f>
        <v>12775</v>
      </c>
    </row>
    <row r="36" spans="1:2" x14ac:dyDescent="0.25">
      <c r="A36" s="3" t="s">
        <v>31</v>
      </c>
      <c r="B36" s="5">
        <f>16800</f>
        <v>16800</v>
      </c>
    </row>
    <row r="37" spans="1:2" x14ac:dyDescent="0.25">
      <c r="A37" s="3" t="s">
        <v>32</v>
      </c>
      <c r="B37" s="5">
        <f>57600</f>
        <v>57600</v>
      </c>
    </row>
    <row r="38" spans="1:2" x14ac:dyDescent="0.25">
      <c r="A38" s="3" t="s">
        <v>33</v>
      </c>
      <c r="B38" s="5">
        <f>26626</f>
        <v>26626</v>
      </c>
    </row>
    <row r="39" spans="1:2" x14ac:dyDescent="0.25">
      <c r="A39" s="3" t="s">
        <v>34</v>
      </c>
      <c r="B39" s="6">
        <f>((((((((((((B24)+(B25))+(B28))+(B29))+(B30))+(B31))+(B32))+(B33))+(B34))+(B35))+(B36))+(B37))+(B38)</f>
        <v>1983847</v>
      </c>
    </row>
    <row r="40" spans="1:2" x14ac:dyDescent="0.25">
      <c r="A40" s="3" t="s">
        <v>35</v>
      </c>
      <c r="B40" s="6">
        <f>((((((B9)+(B10))+(B11))+(B21))+(B22))+(B23))+(B39)</f>
        <v>3196060</v>
      </c>
    </row>
    <row r="41" spans="1:2" x14ac:dyDescent="0.25">
      <c r="A41" s="3" t="s">
        <v>36</v>
      </c>
      <c r="B41" s="6">
        <f>(B40)-(0)</f>
        <v>3196060</v>
      </c>
    </row>
    <row r="42" spans="1:2" x14ac:dyDescent="0.25">
      <c r="A42" s="3" t="s">
        <v>37</v>
      </c>
      <c r="B42" s="4"/>
    </row>
    <row r="43" spans="1:2" x14ac:dyDescent="0.25">
      <c r="A43" s="3" t="s">
        <v>38</v>
      </c>
      <c r="B43" s="5">
        <f>1614</f>
        <v>1614</v>
      </c>
    </row>
    <row r="44" spans="1:2" x14ac:dyDescent="0.25">
      <c r="A44" s="3" t="s">
        <v>39</v>
      </c>
      <c r="B44" s="5">
        <f>515</f>
        <v>515</v>
      </c>
    </row>
    <row r="45" spans="1:2" x14ac:dyDescent="0.25">
      <c r="A45" s="3" t="s">
        <v>40</v>
      </c>
      <c r="B45" s="5">
        <f>19060</f>
        <v>19060</v>
      </c>
    </row>
    <row r="46" spans="1:2" x14ac:dyDescent="0.25">
      <c r="A46" s="3" t="s">
        <v>41</v>
      </c>
      <c r="B46" s="5">
        <f>-83</f>
        <v>-83</v>
      </c>
    </row>
    <row r="47" spans="1:2" x14ac:dyDescent="0.25">
      <c r="A47" s="3" t="s">
        <v>42</v>
      </c>
      <c r="B47" s="5">
        <f>6840</f>
        <v>6840</v>
      </c>
    </row>
    <row r="48" spans="1:2" x14ac:dyDescent="0.25">
      <c r="A48" s="3" t="s">
        <v>43</v>
      </c>
      <c r="B48" s="5">
        <f>4000</f>
        <v>4000</v>
      </c>
    </row>
    <row r="49" spans="1:2" x14ac:dyDescent="0.25">
      <c r="A49" s="3" t="s">
        <v>44</v>
      </c>
      <c r="B49" s="5">
        <f>4681</f>
        <v>4681</v>
      </c>
    </row>
    <row r="50" spans="1:2" x14ac:dyDescent="0.25">
      <c r="A50" s="3" t="s">
        <v>45</v>
      </c>
      <c r="B50" s="5">
        <f>75682</f>
        <v>75682</v>
      </c>
    </row>
    <row r="51" spans="1:2" x14ac:dyDescent="0.25">
      <c r="A51" s="3" t="s">
        <v>46</v>
      </c>
      <c r="B51" s="5">
        <f>4500</f>
        <v>4500</v>
      </c>
    </row>
    <row r="52" spans="1:2" x14ac:dyDescent="0.25">
      <c r="A52" s="3" t="s">
        <v>47</v>
      </c>
      <c r="B52" s="6">
        <f>(B50)+(B51)</f>
        <v>80182</v>
      </c>
    </row>
    <row r="53" spans="1:2" x14ac:dyDescent="0.25">
      <c r="A53" s="3" t="s">
        <v>48</v>
      </c>
      <c r="B53" s="5">
        <f>2786</f>
        <v>2786</v>
      </c>
    </row>
    <row r="54" spans="1:2" x14ac:dyDescent="0.25">
      <c r="A54" s="3" t="s">
        <v>49</v>
      </c>
      <c r="B54" s="5">
        <f>219</f>
        <v>219</v>
      </c>
    </row>
    <row r="55" spans="1:2" x14ac:dyDescent="0.25">
      <c r="A55" s="3" t="s">
        <v>50</v>
      </c>
      <c r="B55" s="5">
        <f>13838</f>
        <v>13838</v>
      </c>
    </row>
    <row r="56" spans="1:2" x14ac:dyDescent="0.25">
      <c r="A56" s="3" t="s">
        <v>51</v>
      </c>
      <c r="B56" s="5">
        <f>15431</f>
        <v>15431</v>
      </c>
    </row>
    <row r="57" spans="1:2" x14ac:dyDescent="0.25">
      <c r="A57" s="3" t="s">
        <v>52</v>
      </c>
      <c r="B57" s="5">
        <f>20579</f>
        <v>20579</v>
      </c>
    </row>
    <row r="58" spans="1:2" x14ac:dyDescent="0.25">
      <c r="A58" s="3" t="s">
        <v>53</v>
      </c>
      <c r="B58" s="6">
        <f>(((B54)+(B55))+(B56))+(B57)</f>
        <v>50067</v>
      </c>
    </row>
    <row r="59" spans="1:2" x14ac:dyDescent="0.25">
      <c r="A59" s="3" t="s">
        <v>54</v>
      </c>
      <c r="B59" s="5">
        <f>18678</f>
        <v>18678</v>
      </c>
    </row>
    <row r="60" spans="1:2" x14ac:dyDescent="0.25">
      <c r="A60" s="3" t="s">
        <v>55</v>
      </c>
      <c r="B60" s="5">
        <f>1813941.68</f>
        <v>1813941.68</v>
      </c>
    </row>
    <row r="61" spans="1:2" x14ac:dyDescent="0.25">
      <c r="A61" s="3" t="s">
        <v>56</v>
      </c>
      <c r="B61" s="5">
        <f>0</f>
        <v>0</v>
      </c>
    </row>
    <row r="62" spans="1:2" x14ac:dyDescent="0.25">
      <c r="A62" s="3" t="s">
        <v>57</v>
      </c>
      <c r="B62" s="5">
        <f>132358.63</f>
        <v>132358.63</v>
      </c>
    </row>
    <row r="63" spans="1:2" x14ac:dyDescent="0.25">
      <c r="A63" s="3" t="s">
        <v>58</v>
      </c>
      <c r="B63" s="5">
        <f>193762</f>
        <v>193762</v>
      </c>
    </row>
    <row r="64" spans="1:2" x14ac:dyDescent="0.25">
      <c r="A64" s="3" t="s">
        <v>59</v>
      </c>
      <c r="B64" s="5">
        <f>3281</f>
        <v>3281</v>
      </c>
    </row>
    <row r="65" spans="1:2" x14ac:dyDescent="0.25">
      <c r="A65" s="3" t="s">
        <v>60</v>
      </c>
      <c r="B65" s="5">
        <f>167532.98</f>
        <v>167532.98000000001</v>
      </c>
    </row>
    <row r="66" spans="1:2" x14ac:dyDescent="0.25">
      <c r="A66" s="3" t="s">
        <v>61</v>
      </c>
      <c r="B66" s="5">
        <f>236252</f>
        <v>236252</v>
      </c>
    </row>
    <row r="67" spans="1:2" x14ac:dyDescent="0.25">
      <c r="A67" s="3" t="s">
        <v>62</v>
      </c>
      <c r="B67" s="5">
        <f>25358</f>
        <v>25358</v>
      </c>
    </row>
    <row r="68" spans="1:2" x14ac:dyDescent="0.25">
      <c r="A68" s="3" t="s">
        <v>63</v>
      </c>
      <c r="B68" s="5">
        <f>7814</f>
        <v>7814</v>
      </c>
    </row>
    <row r="69" spans="1:2" x14ac:dyDescent="0.25">
      <c r="A69" s="3" t="s">
        <v>64</v>
      </c>
      <c r="B69" s="6">
        <f>(((((((((B59)+(B60))+(B61))+(B62))+(B63))+(B64))+(B65))+(B66))+(B67))+(B68)</f>
        <v>2598978.29</v>
      </c>
    </row>
    <row r="70" spans="1:2" x14ac:dyDescent="0.25">
      <c r="A70" s="3" t="s">
        <v>65</v>
      </c>
      <c r="B70" s="5">
        <f>50338.7</f>
        <v>50338.7</v>
      </c>
    </row>
    <row r="71" spans="1:2" x14ac:dyDescent="0.25">
      <c r="A71" s="3" t="s">
        <v>66</v>
      </c>
      <c r="B71" s="5">
        <f>0</f>
        <v>0</v>
      </c>
    </row>
    <row r="72" spans="1:2" x14ac:dyDescent="0.25">
      <c r="A72" s="3" t="s">
        <v>67</v>
      </c>
      <c r="B72" s="5">
        <f>441</f>
        <v>441</v>
      </c>
    </row>
    <row r="73" spans="1:2" x14ac:dyDescent="0.25">
      <c r="A73" s="3" t="s">
        <v>68</v>
      </c>
      <c r="B73" s="5">
        <f>38880.23</f>
        <v>38880.230000000003</v>
      </c>
    </row>
    <row r="74" spans="1:2" x14ac:dyDescent="0.25">
      <c r="A74" s="3" t="s">
        <v>69</v>
      </c>
      <c r="B74" s="5">
        <f>72</f>
        <v>72</v>
      </c>
    </row>
    <row r="75" spans="1:2" x14ac:dyDescent="0.25">
      <c r="A75" s="3" t="s">
        <v>70</v>
      </c>
      <c r="B75" s="5">
        <f>44.95</f>
        <v>44.95</v>
      </c>
    </row>
    <row r="76" spans="1:2" x14ac:dyDescent="0.25">
      <c r="A76" s="3" t="s">
        <v>71</v>
      </c>
      <c r="B76" s="6">
        <f>(((B72)+(B73))+(B74))+(B75)</f>
        <v>39438.18</v>
      </c>
    </row>
    <row r="77" spans="1:2" x14ac:dyDescent="0.25">
      <c r="A77" s="3" t="s">
        <v>72</v>
      </c>
      <c r="B77" s="5">
        <f>8456</f>
        <v>8456</v>
      </c>
    </row>
    <row r="78" spans="1:2" x14ac:dyDescent="0.25">
      <c r="A78" s="3" t="s">
        <v>73</v>
      </c>
      <c r="B78" s="5">
        <f>1671.45</f>
        <v>1671.45</v>
      </c>
    </row>
    <row r="79" spans="1:2" x14ac:dyDescent="0.25">
      <c r="A79" s="3" t="s">
        <v>74</v>
      </c>
      <c r="B79" s="5">
        <f>1699</f>
        <v>1699</v>
      </c>
    </row>
    <row r="80" spans="1:2" x14ac:dyDescent="0.25">
      <c r="A80" s="3" t="s">
        <v>75</v>
      </c>
      <c r="B80" s="5">
        <f>19545.55</f>
        <v>19545.55</v>
      </c>
    </row>
    <row r="81" spans="1:2" x14ac:dyDescent="0.25">
      <c r="A81" s="3" t="s">
        <v>76</v>
      </c>
      <c r="B81" s="5">
        <f>17722</f>
        <v>17722</v>
      </c>
    </row>
    <row r="82" spans="1:2" x14ac:dyDescent="0.25">
      <c r="A82" s="3" t="s">
        <v>77</v>
      </c>
      <c r="B82" s="6">
        <f>(((B78)+(B79))+(B80))+(B81)</f>
        <v>40638</v>
      </c>
    </row>
    <row r="83" spans="1:2" x14ac:dyDescent="0.25">
      <c r="A83" s="3" t="s">
        <v>78</v>
      </c>
      <c r="B83" s="5">
        <f>247.81</f>
        <v>247.81</v>
      </c>
    </row>
    <row r="84" spans="1:2" x14ac:dyDescent="0.25">
      <c r="A84" s="3" t="s">
        <v>79</v>
      </c>
      <c r="B84" s="5">
        <f>9527.5</f>
        <v>9527.5</v>
      </c>
    </row>
    <row r="85" spans="1:2" x14ac:dyDescent="0.25">
      <c r="A85" s="3" t="s">
        <v>80</v>
      </c>
      <c r="B85" s="5">
        <f>15490</f>
        <v>15490</v>
      </c>
    </row>
    <row r="86" spans="1:2" x14ac:dyDescent="0.25">
      <c r="A86" s="3" t="s">
        <v>81</v>
      </c>
      <c r="B86" s="5">
        <f>22716</f>
        <v>22716</v>
      </c>
    </row>
    <row r="87" spans="1:2" x14ac:dyDescent="0.25">
      <c r="A87" s="3" t="s">
        <v>82</v>
      </c>
      <c r="B87" s="5">
        <f>62530</f>
        <v>62530</v>
      </c>
    </row>
    <row r="88" spans="1:2" x14ac:dyDescent="0.25">
      <c r="A88" s="3" t="s">
        <v>83</v>
      </c>
      <c r="B88" s="5">
        <f>39951</f>
        <v>39951</v>
      </c>
    </row>
    <row r="89" spans="1:2" x14ac:dyDescent="0.25">
      <c r="A89" s="3" t="s">
        <v>84</v>
      </c>
      <c r="B89" s="6">
        <f>(((B85)+(B86))+(B87))+(B88)</f>
        <v>140687</v>
      </c>
    </row>
    <row r="90" spans="1:2" x14ac:dyDescent="0.25">
      <c r="A90" s="3" t="s">
        <v>85</v>
      </c>
      <c r="B90" s="5">
        <f>3555</f>
        <v>3555</v>
      </c>
    </row>
    <row r="91" spans="1:2" x14ac:dyDescent="0.25">
      <c r="A91" s="3" t="s">
        <v>86</v>
      </c>
      <c r="B91" s="5">
        <f>19329.49</f>
        <v>19329.490000000002</v>
      </c>
    </row>
    <row r="92" spans="1:2" x14ac:dyDescent="0.25">
      <c r="A92" s="3" t="s">
        <v>87</v>
      </c>
      <c r="B92" s="5">
        <f>1386.9</f>
        <v>1386.9</v>
      </c>
    </row>
    <row r="93" spans="1:2" x14ac:dyDescent="0.25">
      <c r="A93" s="3" t="s">
        <v>88</v>
      </c>
      <c r="B93" s="5">
        <f>180</f>
        <v>180</v>
      </c>
    </row>
    <row r="94" spans="1:2" x14ac:dyDescent="0.25">
      <c r="A94" s="3" t="s">
        <v>89</v>
      </c>
      <c r="B94" s="5">
        <f>18075.82</f>
        <v>18075.82</v>
      </c>
    </row>
    <row r="95" spans="1:2" x14ac:dyDescent="0.25">
      <c r="A95" s="3" t="s">
        <v>90</v>
      </c>
      <c r="B95" s="6">
        <f>((((B90)+(B91))+(B92))+(B93))+(B94)</f>
        <v>42527.210000000006</v>
      </c>
    </row>
    <row r="96" spans="1:2" x14ac:dyDescent="0.25">
      <c r="A96" s="3" t="s">
        <v>91</v>
      </c>
      <c r="B96" s="5">
        <f>317</f>
        <v>317</v>
      </c>
    </row>
    <row r="97" spans="1:2" x14ac:dyDescent="0.25">
      <c r="A97" s="3" t="s">
        <v>92</v>
      </c>
      <c r="B97" s="4"/>
    </row>
    <row r="98" spans="1:2" x14ac:dyDescent="0.25">
      <c r="A98" s="3" t="s">
        <v>93</v>
      </c>
      <c r="B98" s="5">
        <f>12582</f>
        <v>12582</v>
      </c>
    </row>
    <row r="99" spans="1:2" x14ac:dyDescent="0.25">
      <c r="A99" s="3" t="s">
        <v>94</v>
      </c>
      <c r="B99" s="5">
        <f>21.46</f>
        <v>21.46</v>
      </c>
    </row>
    <row r="100" spans="1:2" x14ac:dyDescent="0.25">
      <c r="A100" s="3" t="s">
        <v>95</v>
      </c>
      <c r="B100" s="5">
        <f>8759</f>
        <v>8759</v>
      </c>
    </row>
    <row r="101" spans="1:2" x14ac:dyDescent="0.25">
      <c r="A101" s="3" t="s">
        <v>96</v>
      </c>
      <c r="B101" s="5">
        <f>12466</f>
        <v>12466</v>
      </c>
    </row>
    <row r="102" spans="1:2" x14ac:dyDescent="0.25">
      <c r="A102" s="3" t="s">
        <v>97</v>
      </c>
      <c r="B102" s="5">
        <f>1525</f>
        <v>1525</v>
      </c>
    </row>
    <row r="103" spans="1:2" x14ac:dyDescent="0.25">
      <c r="A103" s="3" t="s">
        <v>98</v>
      </c>
      <c r="B103" s="5">
        <f>7318</f>
        <v>7318</v>
      </c>
    </row>
    <row r="104" spans="1:2" x14ac:dyDescent="0.25">
      <c r="A104" s="3" t="s">
        <v>99</v>
      </c>
      <c r="B104" s="5">
        <f>4151</f>
        <v>4151</v>
      </c>
    </row>
    <row r="105" spans="1:2" x14ac:dyDescent="0.25">
      <c r="A105" s="3" t="s">
        <v>100</v>
      </c>
      <c r="B105" s="5">
        <f>41785</f>
        <v>41785</v>
      </c>
    </row>
    <row r="106" spans="1:2" x14ac:dyDescent="0.25">
      <c r="A106" s="3" t="s">
        <v>101</v>
      </c>
      <c r="B106" s="5">
        <f>1528.3</f>
        <v>1528.3</v>
      </c>
    </row>
    <row r="107" spans="1:2" x14ac:dyDescent="0.25">
      <c r="A107" s="3" t="s">
        <v>102</v>
      </c>
      <c r="B107" s="5">
        <f>11.52</f>
        <v>11.52</v>
      </c>
    </row>
    <row r="108" spans="1:2" x14ac:dyDescent="0.25">
      <c r="A108" s="3" t="s">
        <v>103</v>
      </c>
      <c r="B108" s="6">
        <f>(B106)+(B107)</f>
        <v>1539.82</v>
      </c>
    </row>
    <row r="109" spans="1:2" x14ac:dyDescent="0.25">
      <c r="A109" s="3" t="s">
        <v>104</v>
      </c>
      <c r="B109" s="6">
        <f>(((((((((B97)+(B98))+(B99))+(B100))+(B101))+(B102))+(B103))+(B104))+(B105))+(B108)</f>
        <v>90147.28</v>
      </c>
    </row>
    <row r="110" spans="1:2" x14ac:dyDescent="0.25">
      <c r="A110" s="3" t="s">
        <v>105</v>
      </c>
      <c r="B110" s="5">
        <f>2371</f>
        <v>2371</v>
      </c>
    </row>
    <row r="111" spans="1:2" x14ac:dyDescent="0.25">
      <c r="A111" s="3" t="s">
        <v>106</v>
      </c>
      <c r="B111" s="5">
        <f>478</f>
        <v>478</v>
      </c>
    </row>
    <row r="112" spans="1:2" x14ac:dyDescent="0.25">
      <c r="A112" s="3" t="s">
        <v>107</v>
      </c>
      <c r="B112" s="6">
        <f>(((((((((((((((((((((((B43)+(B44))+(B45))+(B46))+(B47))+(B48))+(B49))+(B52))+(B53))+(B58))+(B69))+(B70))+(B71))+(B76))+(B77))+(B82))+(B83))+(B84))+(B89))+(B95))+(B96))+(B109))+(B110))+(B111)</f>
        <v>3193813.97</v>
      </c>
    </row>
    <row r="113" spans="1:2" x14ac:dyDescent="0.25">
      <c r="A113" s="3" t="s">
        <v>108</v>
      </c>
      <c r="B113" s="6">
        <f>(B41)-(B112)</f>
        <v>2246.0299999997951</v>
      </c>
    </row>
    <row r="114" spans="1:2" x14ac:dyDescent="0.25">
      <c r="A114" s="3" t="s">
        <v>109</v>
      </c>
      <c r="B114" s="7">
        <f>(B113)+(0)</f>
        <v>2246.0299999997951</v>
      </c>
    </row>
    <row r="115" spans="1:2" x14ac:dyDescent="0.25">
      <c r="A115" s="3"/>
      <c r="B115" s="4"/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Overview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Vicki Byars</cp:lastModifiedBy>
  <dcterms:created xsi:type="dcterms:W3CDTF">2024-02-27T20:05:10Z</dcterms:created>
  <dcterms:modified xsi:type="dcterms:W3CDTF">2024-02-27T20:05:23Z</dcterms:modified>
</cp:coreProperties>
</file>