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nicha.pakkharakar\Desktop\07.25.22\BP\"/>
    </mc:Choice>
  </mc:AlternateContent>
  <xr:revisionPtr revIDLastSave="0" documentId="8_{8CC900A0-0B1C-4231-A91C-0E2C51DD836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TMT of Fin Pos" sheetId="1" r:id="rId1"/>
    <sheet name="STMT of Fin Act" sheetId="2" r:id="rId2"/>
    <sheet name="STMT of Fin Act by Month" sheetId="3" r:id="rId3"/>
    <sheet name="STMT of Fin Act by Class" sheetId="4" r:id="rId4"/>
  </sheets>
  <definedNames>
    <definedName name="_xlnm.Print_Titles" localSheetId="1">'STMT of Fin Act'!$1:$5</definedName>
    <definedName name="_xlnm.Print_Titles" localSheetId="3">'STMT of Fin Act by Class'!$1:$5</definedName>
    <definedName name="_xlnm.Print_Titles" localSheetId="2">'STMT of Fin Act by Month'!$1:$5</definedName>
    <definedName name="_xlnm.Print_Titles" localSheetId="0">'STMT of Fin Pos'!$1:$5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" i="4" l="1"/>
  <c r="Q8" i="4"/>
  <c r="Q12" i="4" s="1"/>
  <c r="S8" i="4"/>
  <c r="S9" i="4"/>
  <c r="T9" i="4" s="1"/>
  <c r="P10" i="4"/>
  <c r="T10" i="4" s="1"/>
  <c r="U11" i="4"/>
  <c r="U12" i="4" s="1"/>
  <c r="B12" i="4"/>
  <c r="C12" i="4"/>
  <c r="D12" i="4"/>
  <c r="E12" i="4"/>
  <c r="F12" i="4"/>
  <c r="G12" i="4"/>
  <c r="H12" i="4"/>
  <c r="J12" i="4"/>
  <c r="K12" i="4"/>
  <c r="L12" i="4"/>
  <c r="M12" i="4"/>
  <c r="N12" i="4"/>
  <c r="O12" i="4"/>
  <c r="R12" i="4"/>
  <c r="V12" i="4"/>
  <c r="W12" i="4"/>
  <c r="P15" i="4"/>
  <c r="T15" i="4" s="1"/>
  <c r="Y15" i="4" s="1"/>
  <c r="B16" i="4"/>
  <c r="C16" i="4"/>
  <c r="D16" i="4"/>
  <c r="E16" i="4"/>
  <c r="F16" i="4"/>
  <c r="G16" i="4"/>
  <c r="H16" i="4"/>
  <c r="J16" i="4"/>
  <c r="K16" i="4"/>
  <c r="L16" i="4"/>
  <c r="M16" i="4"/>
  <c r="N16" i="4"/>
  <c r="O16" i="4"/>
  <c r="Q16" i="4"/>
  <c r="R16" i="4"/>
  <c r="S16" i="4"/>
  <c r="U16" i="4"/>
  <c r="V16" i="4"/>
  <c r="W16" i="4"/>
  <c r="J19" i="4"/>
  <c r="J24" i="4" s="1"/>
  <c r="K19" i="4"/>
  <c r="K24" i="4" s="1"/>
  <c r="L19" i="4"/>
  <c r="L24" i="4" s="1"/>
  <c r="M19" i="4"/>
  <c r="M24" i="4" s="1"/>
  <c r="N19" i="4"/>
  <c r="N24" i="4" s="1"/>
  <c r="O19" i="4"/>
  <c r="O24" i="4" s="1"/>
  <c r="R19" i="4"/>
  <c r="R24" i="4" s="1"/>
  <c r="G20" i="4"/>
  <c r="G24" i="4" s="1"/>
  <c r="N20" i="4"/>
  <c r="P20" i="4"/>
  <c r="Q20" i="4"/>
  <c r="P21" i="4"/>
  <c r="Q21" i="4"/>
  <c r="S21" i="4"/>
  <c r="S24" i="4" s="1"/>
  <c r="H22" i="4"/>
  <c r="H24" i="4" s="1"/>
  <c r="B24" i="4"/>
  <c r="C24" i="4"/>
  <c r="D24" i="4"/>
  <c r="E24" i="4"/>
  <c r="F24" i="4"/>
  <c r="U24" i="4"/>
  <c r="V24" i="4"/>
  <c r="W24" i="4"/>
  <c r="U26" i="4"/>
  <c r="Y26" i="4" s="1"/>
  <c r="P27" i="4"/>
  <c r="P28" i="4" s="1"/>
  <c r="S27" i="4"/>
  <c r="S28" i="4" s="1"/>
  <c r="U27" i="4"/>
  <c r="B28" i="4"/>
  <c r="C28" i="4"/>
  <c r="D28" i="4"/>
  <c r="E28" i="4"/>
  <c r="F28" i="4"/>
  <c r="G28" i="4"/>
  <c r="H28" i="4"/>
  <c r="J28" i="4"/>
  <c r="K28" i="4"/>
  <c r="L28" i="4"/>
  <c r="M28" i="4"/>
  <c r="N28" i="4"/>
  <c r="O28" i="4"/>
  <c r="Q28" i="4"/>
  <c r="R28" i="4"/>
  <c r="V28" i="4"/>
  <c r="W28" i="4"/>
  <c r="N31" i="4"/>
  <c r="S31" i="4"/>
  <c r="W32" i="4"/>
  <c r="X32" i="4" s="1"/>
  <c r="Y32" i="4" s="1"/>
  <c r="W33" i="4"/>
  <c r="X33" i="4" s="1"/>
  <c r="W34" i="4"/>
  <c r="X34" i="4" s="1"/>
  <c r="Y34" i="4" s="1"/>
  <c r="W37" i="4"/>
  <c r="W38" i="4" s="1"/>
  <c r="B38" i="4"/>
  <c r="B40" i="4" s="1"/>
  <c r="C38" i="4"/>
  <c r="C40" i="4" s="1"/>
  <c r="D38" i="4"/>
  <c r="D40" i="4" s="1"/>
  <c r="E38" i="4"/>
  <c r="E40" i="4" s="1"/>
  <c r="F38" i="4"/>
  <c r="G38" i="4"/>
  <c r="H38" i="4"/>
  <c r="H40" i="4" s="1"/>
  <c r="J38" i="4"/>
  <c r="J40" i="4" s="1"/>
  <c r="K38" i="4"/>
  <c r="K40" i="4" s="1"/>
  <c r="L38" i="4"/>
  <c r="L40" i="4" s="1"/>
  <c r="M38" i="4"/>
  <c r="M40" i="4" s="1"/>
  <c r="N38" i="4"/>
  <c r="O38" i="4"/>
  <c r="O40" i="4" s="1"/>
  <c r="P38" i="4"/>
  <c r="P40" i="4" s="1"/>
  <c r="Q38" i="4"/>
  <c r="Q40" i="4" s="1"/>
  <c r="R38" i="4"/>
  <c r="R40" i="4" s="1"/>
  <c r="S38" i="4"/>
  <c r="U38" i="4"/>
  <c r="U40" i="4" s="1"/>
  <c r="V38" i="4"/>
  <c r="V40" i="4" s="1"/>
  <c r="F40" i="4"/>
  <c r="S48" i="4"/>
  <c r="T48" i="4" s="1"/>
  <c r="U48" i="4"/>
  <c r="V48" i="4"/>
  <c r="X48" i="4" s="1"/>
  <c r="S49" i="4"/>
  <c r="T49" i="4" s="1"/>
  <c r="U49" i="4"/>
  <c r="V49" i="4"/>
  <c r="X49" i="4" s="1"/>
  <c r="U50" i="4"/>
  <c r="Y50" i="4" s="1"/>
  <c r="B51" i="4"/>
  <c r="C51" i="4"/>
  <c r="D51" i="4"/>
  <c r="E51" i="4"/>
  <c r="F51" i="4"/>
  <c r="G51" i="4"/>
  <c r="H51" i="4"/>
  <c r="J51" i="4"/>
  <c r="K51" i="4"/>
  <c r="L51" i="4"/>
  <c r="M51" i="4"/>
  <c r="N51" i="4"/>
  <c r="O51" i="4"/>
  <c r="P51" i="4"/>
  <c r="Q51" i="4"/>
  <c r="R51" i="4"/>
  <c r="W51" i="4"/>
  <c r="U54" i="4"/>
  <c r="Y54" i="4" s="1"/>
  <c r="E55" i="4"/>
  <c r="I55" i="4" s="1"/>
  <c r="S55" i="4"/>
  <c r="D56" i="4"/>
  <c r="D57" i="4" s="1"/>
  <c r="E56" i="4"/>
  <c r="H56" i="4"/>
  <c r="H57" i="4" s="1"/>
  <c r="J56" i="4"/>
  <c r="J57" i="4" s="1"/>
  <c r="K56" i="4"/>
  <c r="K57" i="4" s="1"/>
  <c r="L56" i="4"/>
  <c r="M56" i="4"/>
  <c r="M57" i="4" s="1"/>
  <c r="N56" i="4"/>
  <c r="N57" i="4" s="1"/>
  <c r="P56" i="4"/>
  <c r="P57" i="4" s="1"/>
  <c r="Q56" i="4"/>
  <c r="Q57" i="4" s="1"/>
  <c r="R56" i="4"/>
  <c r="R57" i="4" s="1"/>
  <c r="S56" i="4"/>
  <c r="U56" i="4"/>
  <c r="B57" i="4"/>
  <c r="C57" i="4"/>
  <c r="F57" i="4"/>
  <c r="G57" i="4"/>
  <c r="L57" i="4"/>
  <c r="O57" i="4"/>
  <c r="V57" i="4"/>
  <c r="W57" i="4"/>
  <c r="E60" i="4"/>
  <c r="I60" i="4" s="1"/>
  <c r="L60" i="4"/>
  <c r="S60" i="4"/>
  <c r="P61" i="4"/>
  <c r="S61" i="4"/>
  <c r="L62" i="4"/>
  <c r="T62" i="4" s="1"/>
  <c r="Y62" i="4" s="1"/>
  <c r="S62" i="4"/>
  <c r="P63" i="4"/>
  <c r="Q63" i="4"/>
  <c r="Q66" i="4" s="1"/>
  <c r="H64" i="4"/>
  <c r="H66" i="4" s="1"/>
  <c r="P64" i="4"/>
  <c r="S64" i="4"/>
  <c r="F65" i="4"/>
  <c r="I65" i="4" s="1"/>
  <c r="T65" i="4" s="1"/>
  <c r="U65" i="4"/>
  <c r="U66" i="4" s="1"/>
  <c r="B66" i="4"/>
  <c r="C66" i="4"/>
  <c r="D66" i="4"/>
  <c r="G66" i="4"/>
  <c r="J66" i="4"/>
  <c r="K66" i="4"/>
  <c r="M66" i="4"/>
  <c r="N66" i="4"/>
  <c r="O66" i="4"/>
  <c r="R66" i="4"/>
  <c r="V66" i="4"/>
  <c r="W66" i="4"/>
  <c r="G69" i="4"/>
  <c r="I69" i="4" s="1"/>
  <c r="K69" i="4"/>
  <c r="K70" i="4" s="1"/>
  <c r="S69" i="4"/>
  <c r="S70" i="4" s="1"/>
  <c r="U69" i="4"/>
  <c r="U70" i="4" s="1"/>
  <c r="B70" i="4"/>
  <c r="C70" i="4"/>
  <c r="D70" i="4"/>
  <c r="E70" i="4"/>
  <c r="F70" i="4"/>
  <c r="H70" i="4"/>
  <c r="J70" i="4"/>
  <c r="L70" i="4"/>
  <c r="M70" i="4"/>
  <c r="N70" i="4"/>
  <c r="O70" i="4"/>
  <c r="P70" i="4"/>
  <c r="Q70" i="4"/>
  <c r="R70" i="4"/>
  <c r="V70" i="4"/>
  <c r="W70" i="4"/>
  <c r="G73" i="4"/>
  <c r="I73" i="4" s="1"/>
  <c r="L73" i="4"/>
  <c r="L77" i="4" s="1"/>
  <c r="M73" i="4"/>
  <c r="P73" i="4"/>
  <c r="E74" i="4"/>
  <c r="E77" i="4" s="1"/>
  <c r="G74" i="4"/>
  <c r="M74" i="4"/>
  <c r="N74" i="4"/>
  <c r="N77" i="4" s="1"/>
  <c r="P74" i="4"/>
  <c r="Q74" i="4"/>
  <c r="Q77" i="4" s="1"/>
  <c r="U74" i="4"/>
  <c r="U77" i="4" s="1"/>
  <c r="M75" i="4"/>
  <c r="T75" i="4" s="1"/>
  <c r="Y75" i="4" s="1"/>
  <c r="M76" i="4"/>
  <c r="T76" i="4" s="1"/>
  <c r="Y76" i="4" s="1"/>
  <c r="B77" i="4"/>
  <c r="C77" i="4"/>
  <c r="D77" i="4"/>
  <c r="F77" i="4"/>
  <c r="H77" i="4"/>
  <c r="J77" i="4"/>
  <c r="K77" i="4"/>
  <c r="O77" i="4"/>
  <c r="R77" i="4"/>
  <c r="S77" i="4"/>
  <c r="V77" i="4"/>
  <c r="W77" i="4"/>
  <c r="M80" i="4"/>
  <c r="P80" i="4"/>
  <c r="Q80" i="4"/>
  <c r="F81" i="4"/>
  <c r="F87" i="4" s="1"/>
  <c r="I81" i="4"/>
  <c r="P81" i="4"/>
  <c r="E82" i="4"/>
  <c r="I82" i="4" s="1"/>
  <c r="P82" i="4"/>
  <c r="Q82" i="4"/>
  <c r="P83" i="4"/>
  <c r="S83" i="4"/>
  <c r="S84" i="4"/>
  <c r="T84" i="4"/>
  <c r="S85" i="4"/>
  <c r="T85" i="4" s="1"/>
  <c r="Y85" i="4" s="1"/>
  <c r="P86" i="4"/>
  <c r="Q86" i="4"/>
  <c r="B87" i="4"/>
  <c r="C87" i="4"/>
  <c r="D87" i="4"/>
  <c r="G87" i="4"/>
  <c r="H87" i="4"/>
  <c r="J87" i="4"/>
  <c r="K87" i="4"/>
  <c r="L87" i="4"/>
  <c r="N87" i="4"/>
  <c r="O87" i="4"/>
  <c r="R87" i="4"/>
  <c r="U87" i="4"/>
  <c r="V87" i="4"/>
  <c r="W87" i="4"/>
  <c r="S90" i="4"/>
  <c r="T90" i="4" s="1"/>
  <c r="U90" i="4"/>
  <c r="P91" i="4"/>
  <c r="S91" i="4"/>
  <c r="F92" i="4"/>
  <c r="I92" i="4" s="1"/>
  <c r="T92" i="4" s="1"/>
  <c r="U92" i="4"/>
  <c r="P93" i="4"/>
  <c r="S93" i="4"/>
  <c r="U93" i="4"/>
  <c r="J94" i="4"/>
  <c r="J97" i="4" s="1"/>
  <c r="P94" i="4"/>
  <c r="Q94" i="4"/>
  <c r="Q97" i="4" s="1"/>
  <c r="U95" i="4"/>
  <c r="Y95" i="4" s="1"/>
  <c r="S96" i="4"/>
  <c r="T96" i="4" s="1"/>
  <c r="U96" i="4"/>
  <c r="B97" i="4"/>
  <c r="C97" i="4"/>
  <c r="D97" i="4"/>
  <c r="E97" i="4"/>
  <c r="G97" i="4"/>
  <c r="H97" i="4"/>
  <c r="K97" i="4"/>
  <c r="L97" i="4"/>
  <c r="M97" i="4"/>
  <c r="N97" i="4"/>
  <c r="O97" i="4"/>
  <c r="R97" i="4"/>
  <c r="V97" i="4"/>
  <c r="W97" i="4"/>
  <c r="B8" i="3"/>
  <c r="C8" i="3"/>
  <c r="C12" i="3" s="1"/>
  <c r="D8" i="3"/>
  <c r="E8" i="3"/>
  <c r="F8" i="3"/>
  <c r="F12" i="3" s="1"/>
  <c r="G8" i="3"/>
  <c r="H8" i="3"/>
  <c r="H12" i="3" s="1"/>
  <c r="I8" i="3"/>
  <c r="J8" i="3"/>
  <c r="K8" i="3"/>
  <c r="E9" i="3"/>
  <c r="I9" i="3"/>
  <c r="H10" i="3"/>
  <c r="I10" i="3"/>
  <c r="D11" i="3"/>
  <c r="D12" i="3" s="1"/>
  <c r="G11" i="3"/>
  <c r="H11" i="3"/>
  <c r="J11" i="3"/>
  <c r="K11" i="3"/>
  <c r="D15" i="3"/>
  <c r="D16" i="3" s="1"/>
  <c r="B16" i="3"/>
  <c r="C16" i="3"/>
  <c r="E16" i="3"/>
  <c r="F16" i="3"/>
  <c r="G16" i="3"/>
  <c r="H16" i="3"/>
  <c r="I16" i="3"/>
  <c r="J16" i="3"/>
  <c r="K16" i="3"/>
  <c r="B19" i="3"/>
  <c r="C19" i="3"/>
  <c r="D19" i="3"/>
  <c r="E19" i="3"/>
  <c r="F19" i="3"/>
  <c r="G19" i="3"/>
  <c r="H19" i="3"/>
  <c r="I19" i="3"/>
  <c r="J19" i="3"/>
  <c r="K19" i="3"/>
  <c r="C20" i="3"/>
  <c r="D20" i="3"/>
  <c r="F20" i="3"/>
  <c r="G20" i="3"/>
  <c r="H20" i="3"/>
  <c r="I20" i="3"/>
  <c r="J20" i="3"/>
  <c r="K20" i="3"/>
  <c r="C21" i="3"/>
  <c r="D21" i="3"/>
  <c r="E21" i="3"/>
  <c r="F21" i="3"/>
  <c r="G21" i="3"/>
  <c r="H21" i="3"/>
  <c r="I21" i="3"/>
  <c r="J21" i="3"/>
  <c r="K21" i="3"/>
  <c r="D22" i="3"/>
  <c r="E22" i="3"/>
  <c r="F22" i="3"/>
  <c r="G22" i="3"/>
  <c r="I22" i="3"/>
  <c r="B23" i="3"/>
  <c r="B26" i="3"/>
  <c r="B28" i="3" s="1"/>
  <c r="C26" i="3"/>
  <c r="C28" i="3" s="1"/>
  <c r="D26" i="3"/>
  <c r="D28" i="3" s="1"/>
  <c r="E26" i="3"/>
  <c r="E28" i="3" s="1"/>
  <c r="F26" i="3"/>
  <c r="G26" i="3"/>
  <c r="G28" i="3" s="1"/>
  <c r="H26" i="3"/>
  <c r="H28" i="3" s="1"/>
  <c r="I26" i="3"/>
  <c r="J26" i="3"/>
  <c r="K26" i="3"/>
  <c r="K28" i="3" s="1"/>
  <c r="F27" i="3"/>
  <c r="I27" i="3"/>
  <c r="J27" i="3"/>
  <c r="C31" i="3"/>
  <c r="F31" i="3"/>
  <c r="G31" i="3"/>
  <c r="E32" i="3"/>
  <c r="L32" i="3" s="1"/>
  <c r="E33" i="3"/>
  <c r="L33" i="3" s="1"/>
  <c r="E34" i="3"/>
  <c r="L34" i="3" s="1"/>
  <c r="C37" i="3"/>
  <c r="L37" i="3" s="1"/>
  <c r="B38" i="3"/>
  <c r="B40" i="3" s="1"/>
  <c r="D38" i="3"/>
  <c r="E38" i="3"/>
  <c r="F38" i="3"/>
  <c r="G38" i="3"/>
  <c r="H38" i="3"/>
  <c r="H40" i="3" s="1"/>
  <c r="I38" i="3"/>
  <c r="I40" i="3" s="1"/>
  <c r="J38" i="3"/>
  <c r="J40" i="3" s="1"/>
  <c r="K38" i="3"/>
  <c r="K40" i="3" s="1"/>
  <c r="D40" i="3"/>
  <c r="B48" i="3"/>
  <c r="C48" i="3"/>
  <c r="D48" i="3"/>
  <c r="E48" i="3"/>
  <c r="F48" i="3"/>
  <c r="G48" i="3"/>
  <c r="H48" i="3"/>
  <c r="I48" i="3"/>
  <c r="J48" i="3"/>
  <c r="K48" i="3"/>
  <c r="B49" i="3"/>
  <c r="C49" i="3"/>
  <c r="D49" i="3"/>
  <c r="E49" i="3"/>
  <c r="F49" i="3"/>
  <c r="G49" i="3"/>
  <c r="H49" i="3"/>
  <c r="I49" i="3"/>
  <c r="J49" i="3"/>
  <c r="K49" i="3"/>
  <c r="B50" i="3"/>
  <c r="C50" i="3"/>
  <c r="D50" i="3"/>
  <c r="E50" i="3"/>
  <c r="F50" i="3"/>
  <c r="G50" i="3"/>
  <c r="H50" i="3"/>
  <c r="I50" i="3"/>
  <c r="J50" i="3"/>
  <c r="K50" i="3"/>
  <c r="B54" i="3"/>
  <c r="B57" i="3" s="1"/>
  <c r="C54" i="3"/>
  <c r="D54" i="3"/>
  <c r="D57" i="3" s="1"/>
  <c r="E54" i="3"/>
  <c r="F54" i="3"/>
  <c r="G54" i="3"/>
  <c r="H54" i="3"/>
  <c r="H57" i="3" s="1"/>
  <c r="I54" i="3"/>
  <c r="J54" i="3"/>
  <c r="K54" i="3"/>
  <c r="C55" i="3"/>
  <c r="H55" i="3"/>
  <c r="I55" i="3"/>
  <c r="I57" i="3" s="1"/>
  <c r="J55" i="3"/>
  <c r="C56" i="3"/>
  <c r="D56" i="3"/>
  <c r="E56" i="3"/>
  <c r="F56" i="3"/>
  <c r="G56" i="3"/>
  <c r="H56" i="3"/>
  <c r="I56" i="3"/>
  <c r="J56" i="3"/>
  <c r="K56" i="3"/>
  <c r="B60" i="3"/>
  <c r="C60" i="3"/>
  <c r="D60" i="3"/>
  <c r="E60" i="3"/>
  <c r="F60" i="3"/>
  <c r="G60" i="3"/>
  <c r="H60" i="3"/>
  <c r="I60" i="3"/>
  <c r="J60" i="3"/>
  <c r="K60" i="3"/>
  <c r="B61" i="3"/>
  <c r="E61" i="3"/>
  <c r="F61" i="3"/>
  <c r="H61" i="3"/>
  <c r="J61" i="3"/>
  <c r="K61" i="3"/>
  <c r="J62" i="3"/>
  <c r="L62" i="3" s="1"/>
  <c r="E63" i="3"/>
  <c r="I63" i="3"/>
  <c r="J63" i="3"/>
  <c r="C64" i="3"/>
  <c r="D64" i="3"/>
  <c r="D66" i="3" s="1"/>
  <c r="E64" i="3"/>
  <c r="I64" i="3"/>
  <c r="B65" i="3"/>
  <c r="C65" i="3"/>
  <c r="D65" i="3"/>
  <c r="E65" i="3"/>
  <c r="F65" i="3"/>
  <c r="F66" i="3" s="1"/>
  <c r="G65" i="3"/>
  <c r="G66" i="3" s="1"/>
  <c r="H65" i="3"/>
  <c r="I65" i="3"/>
  <c r="J65" i="3"/>
  <c r="K65" i="3"/>
  <c r="B69" i="3"/>
  <c r="C69" i="3"/>
  <c r="D69" i="3"/>
  <c r="D70" i="3" s="1"/>
  <c r="E69" i="3"/>
  <c r="E70" i="3" s="1"/>
  <c r="F69" i="3"/>
  <c r="F70" i="3" s="1"/>
  <c r="H69" i="3"/>
  <c r="H70" i="3" s="1"/>
  <c r="I69" i="3"/>
  <c r="I70" i="3" s="1"/>
  <c r="J69" i="3"/>
  <c r="J70" i="3" s="1"/>
  <c r="K69" i="3"/>
  <c r="K70" i="3" s="1"/>
  <c r="C70" i="3"/>
  <c r="G70" i="3"/>
  <c r="I73" i="3"/>
  <c r="J73" i="3"/>
  <c r="K73" i="3"/>
  <c r="B74" i="3"/>
  <c r="C74" i="3"/>
  <c r="C77" i="3" s="1"/>
  <c r="D74" i="3"/>
  <c r="D77" i="3" s="1"/>
  <c r="E74" i="3"/>
  <c r="F74" i="3"/>
  <c r="F77" i="3" s="1"/>
  <c r="G74" i="3"/>
  <c r="G77" i="3" s="1"/>
  <c r="H74" i="3"/>
  <c r="H77" i="3" s="1"/>
  <c r="I74" i="3"/>
  <c r="J74" i="3"/>
  <c r="K74" i="3"/>
  <c r="I75" i="3"/>
  <c r="L75" i="3" s="1"/>
  <c r="I76" i="3"/>
  <c r="L76" i="3"/>
  <c r="E77" i="3"/>
  <c r="D80" i="3"/>
  <c r="F80" i="3"/>
  <c r="G80" i="3"/>
  <c r="H80" i="3"/>
  <c r="I80" i="3"/>
  <c r="J80" i="3"/>
  <c r="K80" i="3"/>
  <c r="B81" i="3"/>
  <c r="J81" i="3"/>
  <c r="C82" i="3"/>
  <c r="D82" i="3"/>
  <c r="F82" i="3"/>
  <c r="G82" i="3"/>
  <c r="H82" i="3"/>
  <c r="I82" i="3"/>
  <c r="D83" i="3"/>
  <c r="I83" i="3"/>
  <c r="J83" i="3"/>
  <c r="K83" i="3"/>
  <c r="E84" i="3"/>
  <c r="K84" i="3"/>
  <c r="C85" i="3"/>
  <c r="G85" i="3"/>
  <c r="D86" i="3"/>
  <c r="E86" i="3"/>
  <c r="H86" i="3"/>
  <c r="I86" i="3"/>
  <c r="J86" i="3"/>
  <c r="B90" i="3"/>
  <c r="C90" i="3"/>
  <c r="D90" i="3"/>
  <c r="E90" i="3"/>
  <c r="F90" i="3"/>
  <c r="H90" i="3"/>
  <c r="C91" i="3"/>
  <c r="E91" i="3"/>
  <c r="F91" i="3"/>
  <c r="H91" i="3"/>
  <c r="I91" i="3"/>
  <c r="J91" i="3"/>
  <c r="K91" i="3"/>
  <c r="B92" i="3"/>
  <c r="C92" i="3"/>
  <c r="D92" i="3"/>
  <c r="E92" i="3"/>
  <c r="F92" i="3"/>
  <c r="G92" i="3"/>
  <c r="H92" i="3"/>
  <c r="I92" i="3"/>
  <c r="J92" i="3"/>
  <c r="K92" i="3"/>
  <c r="B93" i="3"/>
  <c r="C93" i="3"/>
  <c r="D93" i="3"/>
  <c r="E93" i="3"/>
  <c r="F93" i="3"/>
  <c r="G93" i="3"/>
  <c r="H93" i="3"/>
  <c r="I93" i="3"/>
  <c r="J93" i="3"/>
  <c r="K93" i="3"/>
  <c r="E94" i="3"/>
  <c r="K94" i="3"/>
  <c r="B95" i="3"/>
  <c r="K95" i="3"/>
  <c r="G96" i="3"/>
  <c r="H96" i="3"/>
  <c r="I96" i="3"/>
  <c r="J96" i="3"/>
  <c r="K96" i="3"/>
  <c r="B8" i="2"/>
  <c r="B9" i="2"/>
  <c r="B10" i="2"/>
  <c r="B11" i="2"/>
  <c r="B15" i="2"/>
  <c r="B16" i="2" s="1"/>
  <c r="B19" i="2"/>
  <c r="B20" i="2"/>
  <c r="B21" i="2"/>
  <c r="B22" i="2"/>
  <c r="B26" i="2"/>
  <c r="B27" i="2"/>
  <c r="B31" i="2"/>
  <c r="B32" i="2"/>
  <c r="B33" i="2"/>
  <c r="B34" i="2"/>
  <c r="B37" i="2"/>
  <c r="B38" i="2" s="1"/>
  <c r="B48" i="2"/>
  <c r="B49" i="2"/>
  <c r="B50" i="2"/>
  <c r="B54" i="2"/>
  <c r="B55" i="2"/>
  <c r="B56" i="2"/>
  <c r="B60" i="2"/>
  <c r="B61" i="2"/>
  <c r="B62" i="2"/>
  <c r="B63" i="2"/>
  <c r="B64" i="2"/>
  <c r="B65" i="2"/>
  <c r="B69" i="2"/>
  <c r="B70" i="2" s="1"/>
  <c r="B73" i="2"/>
  <c r="B74" i="2"/>
  <c r="B75" i="2"/>
  <c r="B76" i="2"/>
  <c r="B80" i="2"/>
  <c r="B81" i="2"/>
  <c r="B82" i="2"/>
  <c r="B83" i="2"/>
  <c r="B84" i="2"/>
  <c r="B85" i="2"/>
  <c r="B86" i="2"/>
  <c r="B90" i="2"/>
  <c r="B91" i="2"/>
  <c r="B92" i="2"/>
  <c r="B93" i="2"/>
  <c r="B94" i="2"/>
  <c r="B95" i="2"/>
  <c r="B96" i="2"/>
  <c r="B45" i="1"/>
  <c r="B43" i="1"/>
  <c r="B31" i="1"/>
  <c r="B32" i="1" s="1"/>
  <c r="B27" i="1"/>
  <c r="B28" i="1" s="1"/>
  <c r="B18" i="1"/>
  <c r="B19" i="1" s="1"/>
  <c r="B21" i="1" s="1"/>
  <c r="B11" i="1"/>
  <c r="B10" i="1"/>
  <c r="B12" i="1" s="1"/>
  <c r="B14" i="1" s="1"/>
  <c r="Y96" i="4" l="1"/>
  <c r="L66" i="4"/>
  <c r="Q87" i="4"/>
  <c r="W99" i="4"/>
  <c r="P12" i="4"/>
  <c r="X38" i="4"/>
  <c r="Q24" i="4"/>
  <c r="T81" i="4"/>
  <c r="Y81" i="4" s="1"/>
  <c r="T55" i="4"/>
  <c r="Y55" i="4" s="1"/>
  <c r="X97" i="4"/>
  <c r="G70" i="4"/>
  <c r="I70" i="4" s="1"/>
  <c r="T70" i="4" s="1"/>
  <c r="S57" i="4"/>
  <c r="S51" i="4"/>
  <c r="P24" i="4"/>
  <c r="X12" i="4"/>
  <c r="T82" i="4"/>
  <c r="Y82" i="4" s="1"/>
  <c r="X66" i="4"/>
  <c r="I64" i="4"/>
  <c r="T64" i="4" s="1"/>
  <c r="Y64" i="4" s="1"/>
  <c r="T94" i="4"/>
  <c r="Y94" i="4" s="1"/>
  <c r="Y90" i="4"/>
  <c r="T80" i="4"/>
  <c r="Y80" i="4" s="1"/>
  <c r="P77" i="4"/>
  <c r="Q42" i="4"/>
  <c r="Q44" i="4" s="1"/>
  <c r="X70" i="4"/>
  <c r="I38" i="4"/>
  <c r="T38" i="4" s="1"/>
  <c r="Y38" i="4" s="1"/>
  <c r="T27" i="4"/>
  <c r="Y27" i="4" s="1"/>
  <c r="T93" i="4"/>
  <c r="Y93" i="4" s="1"/>
  <c r="S40" i="4"/>
  <c r="I22" i="4"/>
  <c r="T22" i="4" s="1"/>
  <c r="Y22" i="4" s="1"/>
  <c r="I20" i="4"/>
  <c r="T20" i="4" s="1"/>
  <c r="Y20" i="4" s="1"/>
  <c r="J42" i="4"/>
  <c r="J44" i="4" s="1"/>
  <c r="T61" i="4"/>
  <c r="Y61" i="4" s="1"/>
  <c r="T73" i="4"/>
  <c r="Y73" i="4" s="1"/>
  <c r="U57" i="4"/>
  <c r="X37" i="4"/>
  <c r="Y37" i="4" s="1"/>
  <c r="R42" i="4"/>
  <c r="R44" i="4" s="1"/>
  <c r="B42" i="4"/>
  <c r="B44" i="4" s="1"/>
  <c r="T91" i="4"/>
  <c r="Y91" i="4" s="1"/>
  <c r="P66" i="4"/>
  <c r="E42" i="4"/>
  <c r="E44" i="4" s="1"/>
  <c r="D42" i="4"/>
  <c r="D44" i="4" s="1"/>
  <c r="F97" i="4"/>
  <c r="I97" i="4" s="1"/>
  <c r="U97" i="4"/>
  <c r="P87" i="4"/>
  <c r="X77" i="4"/>
  <c r="I74" i="4"/>
  <c r="T74" i="4" s="1"/>
  <c r="Y74" i="4" s="1"/>
  <c r="T63" i="4"/>
  <c r="Y63" i="4" s="1"/>
  <c r="N40" i="4"/>
  <c r="N42" i="4" s="1"/>
  <c r="N44" i="4" s="1"/>
  <c r="I24" i="4"/>
  <c r="T24" i="4" s="1"/>
  <c r="T21" i="4"/>
  <c r="Y21" i="4" s="1"/>
  <c r="X16" i="4"/>
  <c r="O42" i="4"/>
  <c r="O44" i="4" s="1"/>
  <c r="N99" i="4"/>
  <c r="M77" i="4"/>
  <c r="M99" i="4" s="1"/>
  <c r="T60" i="4"/>
  <c r="Y60" i="4" s="1"/>
  <c r="Y49" i="4"/>
  <c r="G40" i="4"/>
  <c r="G42" i="4" s="1"/>
  <c r="G44" i="4" s="1"/>
  <c r="T31" i="4"/>
  <c r="Y31" i="4" s="1"/>
  <c r="E87" i="4"/>
  <c r="I87" i="4" s="1"/>
  <c r="Y92" i="4"/>
  <c r="M87" i="4"/>
  <c r="G77" i="4"/>
  <c r="Y65" i="4"/>
  <c r="I51" i="4"/>
  <c r="T51" i="4" s="1"/>
  <c r="I28" i="4"/>
  <c r="T28" i="4" s="1"/>
  <c r="L42" i="4"/>
  <c r="L44" i="4" s="1"/>
  <c r="M42" i="4"/>
  <c r="M44" i="4" s="1"/>
  <c r="S87" i="4"/>
  <c r="X57" i="4"/>
  <c r="H99" i="4"/>
  <c r="U51" i="4"/>
  <c r="U99" i="4" s="1"/>
  <c r="X28" i="4"/>
  <c r="X24" i="4"/>
  <c r="I12" i="4"/>
  <c r="T8" i="4"/>
  <c r="X87" i="4"/>
  <c r="T83" i="4"/>
  <c r="Y83" i="4" s="1"/>
  <c r="I56" i="4"/>
  <c r="T56" i="4" s="1"/>
  <c r="Y56" i="4" s="1"/>
  <c r="U28" i="4"/>
  <c r="U42" i="4" s="1"/>
  <c r="U44" i="4" s="1"/>
  <c r="K42" i="4"/>
  <c r="K44" i="4" s="1"/>
  <c r="W40" i="4"/>
  <c r="X40" i="4" s="1"/>
  <c r="I16" i="4"/>
  <c r="S97" i="4"/>
  <c r="T86" i="4"/>
  <c r="Y86" i="4" s="1"/>
  <c r="C99" i="4"/>
  <c r="T69" i="4"/>
  <c r="Y69" i="4" s="1"/>
  <c r="T19" i="4"/>
  <c r="Y19" i="4" s="1"/>
  <c r="H42" i="4"/>
  <c r="H44" i="4" s="1"/>
  <c r="Y11" i="4"/>
  <c r="Y8" i="4"/>
  <c r="Y10" i="4"/>
  <c r="Y9" i="4"/>
  <c r="Y84" i="4"/>
  <c r="L99" i="4"/>
  <c r="O99" i="4"/>
  <c r="J99" i="4"/>
  <c r="J101" i="4" s="1"/>
  <c r="J103" i="4" s="1"/>
  <c r="R99" i="4"/>
  <c r="Y33" i="4"/>
  <c r="K99" i="4"/>
  <c r="Y48" i="4"/>
  <c r="Q99" i="4"/>
  <c r="D99" i="4"/>
  <c r="F66" i="4"/>
  <c r="E66" i="4"/>
  <c r="V42" i="4"/>
  <c r="F42" i="4"/>
  <c r="F44" i="4" s="1"/>
  <c r="B99" i="4"/>
  <c r="V51" i="4"/>
  <c r="S12" i="4"/>
  <c r="S42" i="4" s="1"/>
  <c r="S44" i="4" s="1"/>
  <c r="S66" i="4"/>
  <c r="S99" i="4" s="1"/>
  <c r="E57" i="4"/>
  <c r="P97" i="4"/>
  <c r="C42" i="4"/>
  <c r="P16" i="4"/>
  <c r="J51" i="3"/>
  <c r="E12" i="3"/>
  <c r="J57" i="3"/>
  <c r="I12" i="3"/>
  <c r="L60" i="3"/>
  <c r="K57" i="3"/>
  <c r="J23" i="3"/>
  <c r="I66" i="3"/>
  <c r="K66" i="3"/>
  <c r="H66" i="3"/>
  <c r="L9" i="3"/>
  <c r="L15" i="3"/>
  <c r="I97" i="3"/>
  <c r="I23" i="3"/>
  <c r="J87" i="3"/>
  <c r="F87" i="3"/>
  <c r="G40" i="3"/>
  <c r="H51" i="3"/>
  <c r="B51" i="3"/>
  <c r="L86" i="3"/>
  <c r="L8" i="3"/>
  <c r="G23" i="3"/>
  <c r="E97" i="3"/>
  <c r="K97" i="3"/>
  <c r="G51" i="3"/>
  <c r="J28" i="3"/>
  <c r="L10" i="3"/>
  <c r="L83" i="3"/>
  <c r="L93" i="3"/>
  <c r="E87" i="3"/>
  <c r="F51" i="3"/>
  <c r="L21" i="3"/>
  <c r="L81" i="3"/>
  <c r="J12" i="3"/>
  <c r="J42" i="3" s="1"/>
  <c r="J44" i="3" s="1"/>
  <c r="L54" i="3"/>
  <c r="K12" i="3"/>
  <c r="K23" i="3"/>
  <c r="K42" i="3" s="1"/>
  <c r="K44" i="3" s="1"/>
  <c r="H97" i="3"/>
  <c r="B87" i="3"/>
  <c r="L74" i="3"/>
  <c r="L69" i="3"/>
  <c r="J66" i="3"/>
  <c r="E57" i="3"/>
  <c r="C57" i="3"/>
  <c r="L57" i="3" s="1"/>
  <c r="E51" i="3"/>
  <c r="L19" i="3"/>
  <c r="L95" i="3"/>
  <c r="F97" i="3"/>
  <c r="K77" i="3"/>
  <c r="C66" i="3"/>
  <c r="L49" i="3"/>
  <c r="D51" i="3"/>
  <c r="F40" i="3"/>
  <c r="F28" i="3"/>
  <c r="G12" i="3"/>
  <c r="I77" i="3"/>
  <c r="L50" i="3"/>
  <c r="L11" i="3"/>
  <c r="L92" i="3"/>
  <c r="L85" i="3"/>
  <c r="K87" i="3"/>
  <c r="L94" i="3"/>
  <c r="J97" i="3"/>
  <c r="L90" i="3"/>
  <c r="L73" i="3"/>
  <c r="K51" i="3"/>
  <c r="L48" i="3"/>
  <c r="L27" i="3"/>
  <c r="H23" i="3"/>
  <c r="H42" i="3" s="1"/>
  <c r="H44" i="3" s="1"/>
  <c r="L16" i="3"/>
  <c r="B12" i="3"/>
  <c r="L96" i="3"/>
  <c r="G97" i="3"/>
  <c r="E66" i="3"/>
  <c r="D97" i="3"/>
  <c r="C97" i="3"/>
  <c r="L82" i="3"/>
  <c r="L80" i="3"/>
  <c r="L63" i="3"/>
  <c r="B66" i="3"/>
  <c r="G57" i="3"/>
  <c r="I51" i="3"/>
  <c r="F23" i="3"/>
  <c r="E40" i="3"/>
  <c r="C23" i="3"/>
  <c r="L91" i="3"/>
  <c r="H87" i="3"/>
  <c r="L65" i="3"/>
  <c r="B97" i="3"/>
  <c r="I87" i="3"/>
  <c r="L64" i="3"/>
  <c r="L55" i="3"/>
  <c r="F57" i="3"/>
  <c r="L26" i="3"/>
  <c r="L22" i="3"/>
  <c r="L20" i="3"/>
  <c r="E23" i="3"/>
  <c r="G42" i="3"/>
  <c r="G44" i="3" s="1"/>
  <c r="D87" i="3"/>
  <c r="B70" i="3"/>
  <c r="L70" i="3" s="1"/>
  <c r="B42" i="3"/>
  <c r="L31" i="3"/>
  <c r="I28" i="3"/>
  <c r="D23" i="3"/>
  <c r="D42" i="3" s="1"/>
  <c r="D44" i="3" s="1"/>
  <c r="C87" i="3"/>
  <c r="J77" i="3"/>
  <c r="B77" i="3"/>
  <c r="L56" i="3"/>
  <c r="L84" i="3"/>
  <c r="G87" i="3"/>
  <c r="L61" i="3"/>
  <c r="C38" i="3"/>
  <c r="C40" i="3" s="1"/>
  <c r="C51" i="3"/>
  <c r="B51" i="2"/>
  <c r="B66" i="2"/>
  <c r="B28" i="2"/>
  <c r="B12" i="2"/>
  <c r="B77" i="2"/>
  <c r="B57" i="2"/>
  <c r="B23" i="2"/>
  <c r="B87" i="2"/>
  <c r="B40" i="2"/>
  <c r="B97" i="2"/>
  <c r="B23" i="1"/>
  <c r="B34" i="1"/>
  <c r="B46" i="1"/>
  <c r="B48" i="1" s="1"/>
  <c r="M101" i="4" l="1"/>
  <c r="M103" i="4" s="1"/>
  <c r="Q101" i="4"/>
  <c r="Q103" i="4" s="1"/>
  <c r="P99" i="4"/>
  <c r="Y70" i="4"/>
  <c r="R101" i="4"/>
  <c r="R103" i="4" s="1"/>
  <c r="K101" i="4"/>
  <c r="K103" i="4" s="1"/>
  <c r="G99" i="4"/>
  <c r="G101" i="4" s="1"/>
  <c r="G103" i="4" s="1"/>
  <c r="I40" i="4"/>
  <c r="T40" i="4" s="1"/>
  <c r="Y40" i="4" s="1"/>
  <c r="F99" i="4"/>
  <c r="F101" i="4" s="1"/>
  <c r="F103" i="4" s="1"/>
  <c r="I77" i="4"/>
  <c r="T77" i="4" s="1"/>
  <c r="Y77" i="4" s="1"/>
  <c r="H101" i="4"/>
  <c r="H103" i="4" s="1"/>
  <c r="Y28" i="4"/>
  <c r="O101" i="4"/>
  <c r="O103" i="4" s="1"/>
  <c r="T87" i="4"/>
  <c r="Y87" i="4" s="1"/>
  <c r="T16" i="4"/>
  <c r="Y16" i="4" s="1"/>
  <c r="L101" i="4"/>
  <c r="L103" i="4" s="1"/>
  <c r="Y24" i="4"/>
  <c r="I66" i="4"/>
  <c r="T66" i="4" s="1"/>
  <c r="Y66" i="4" s="1"/>
  <c r="N101" i="4"/>
  <c r="N103" i="4" s="1"/>
  <c r="W42" i="4"/>
  <c r="W44" i="4" s="1"/>
  <c r="W101" i="4" s="1"/>
  <c r="W103" i="4" s="1"/>
  <c r="S101" i="4"/>
  <c r="S103" i="4" s="1"/>
  <c r="P42" i="4"/>
  <c r="P44" i="4" s="1"/>
  <c r="V99" i="4"/>
  <c r="X99" i="4" s="1"/>
  <c r="X51" i="4"/>
  <c r="T97" i="4"/>
  <c r="Y97" i="4" s="1"/>
  <c r="B101" i="4"/>
  <c r="C44" i="4"/>
  <c r="I42" i="4"/>
  <c r="V44" i="4"/>
  <c r="X42" i="4"/>
  <c r="T12" i="4"/>
  <c r="Y12" i="4" s="1"/>
  <c r="Y51" i="4"/>
  <c r="E99" i="4"/>
  <c r="E101" i="4" s="1"/>
  <c r="E103" i="4" s="1"/>
  <c r="D101" i="4"/>
  <c r="D103" i="4" s="1"/>
  <c r="U101" i="4"/>
  <c r="U103" i="4" s="1"/>
  <c r="I57" i="4"/>
  <c r="T57" i="4" s="1"/>
  <c r="Y57" i="4" s="1"/>
  <c r="L66" i="3"/>
  <c r="G99" i="3"/>
  <c r="L28" i="3"/>
  <c r="H99" i="3"/>
  <c r="E99" i="3"/>
  <c r="J99" i="3"/>
  <c r="J101" i="3" s="1"/>
  <c r="J103" i="3" s="1"/>
  <c r="L97" i="3"/>
  <c r="H101" i="3"/>
  <c r="H103" i="3" s="1"/>
  <c r="E42" i="3"/>
  <c r="E44" i="3" s="1"/>
  <c r="K99" i="3"/>
  <c r="F42" i="3"/>
  <c r="F44" i="3" s="1"/>
  <c r="I99" i="3"/>
  <c r="I42" i="3"/>
  <c r="I44" i="3" s="1"/>
  <c r="I101" i="3" s="1"/>
  <c r="I103" i="3" s="1"/>
  <c r="L12" i="3"/>
  <c r="L23" i="3"/>
  <c r="F99" i="3"/>
  <c r="K101" i="3"/>
  <c r="K103" i="3" s="1"/>
  <c r="C99" i="3"/>
  <c r="L40" i="3"/>
  <c r="L87" i="3"/>
  <c r="C42" i="3"/>
  <c r="C44" i="3" s="1"/>
  <c r="C101" i="3" s="1"/>
  <c r="C103" i="3" s="1"/>
  <c r="L77" i="3"/>
  <c r="D99" i="3"/>
  <c r="D101" i="3" s="1"/>
  <c r="D103" i="3" s="1"/>
  <c r="L38" i="3"/>
  <c r="L51" i="3"/>
  <c r="B99" i="3"/>
  <c r="B44" i="3"/>
  <c r="G101" i="3"/>
  <c r="G103" i="3" s="1"/>
  <c r="B99" i="2"/>
  <c r="B42" i="2"/>
  <c r="B44" i="2" s="1"/>
  <c r="B36" i="1"/>
  <c r="P101" i="4" l="1"/>
  <c r="P103" i="4" s="1"/>
  <c r="T42" i="4"/>
  <c r="Y42" i="4" s="1"/>
  <c r="C101" i="4"/>
  <c r="I44" i="4"/>
  <c r="T44" i="4" s="1"/>
  <c r="B103" i="4"/>
  <c r="V101" i="4"/>
  <c r="X44" i="4"/>
  <c r="I99" i="4"/>
  <c r="T99" i="4" s="1"/>
  <c r="Y99" i="4" s="1"/>
  <c r="E101" i="3"/>
  <c r="E103" i="3" s="1"/>
  <c r="F101" i="3"/>
  <c r="F103" i="3" s="1"/>
  <c r="L99" i="3"/>
  <c r="L42" i="3"/>
  <c r="B101" i="3"/>
  <c r="L44" i="3"/>
  <c r="B101" i="2"/>
  <c r="B103" i="2" s="1"/>
  <c r="V103" i="4" l="1"/>
  <c r="X103" i="4" s="1"/>
  <c r="X101" i="4"/>
  <c r="Y44" i="4"/>
  <c r="I101" i="4"/>
  <c r="T101" i="4" s="1"/>
  <c r="Y101" i="4" s="1"/>
  <c r="C103" i="4"/>
  <c r="I103" i="4" s="1"/>
  <c r="T103" i="4" s="1"/>
  <c r="L101" i="3"/>
  <c r="B103" i="3"/>
  <c r="L103" i="3" s="1"/>
  <c r="Y103" i="4" l="1"/>
</calcChain>
</file>

<file path=xl/sharedStrings.xml><?xml version="1.0" encoding="utf-8"?>
<sst xmlns="http://schemas.openxmlformats.org/spreadsheetml/2006/main" count="321" uniqueCount="154">
  <si>
    <t>Total</t>
  </si>
  <si>
    <t>ASSETS</t>
  </si>
  <si>
    <t xml:space="preserve">   Current Assets</t>
  </si>
  <si>
    <t xml:space="preserve">      Bank Accounts</t>
  </si>
  <si>
    <t xml:space="preserve">         1000 Cash</t>
  </si>
  <si>
    <t xml:space="preserve">            1010 WF Checking</t>
  </si>
  <si>
    <t xml:space="preserve">            1020 WF Savings</t>
  </si>
  <si>
    <t xml:space="preserve">         Total 1000 Cash</t>
  </si>
  <si>
    <t xml:space="preserve">      Total Bank Accounts</t>
  </si>
  <si>
    <t xml:space="preserve">      Other Current Assets</t>
  </si>
  <si>
    <t xml:space="preserve">         1400 Other Current Assets</t>
  </si>
  <si>
    <t xml:space="preserve">            1420 Security Deposits</t>
  </si>
  <si>
    <t xml:space="preserve">         Total 1400 Other Current Assets</t>
  </si>
  <si>
    <t xml:space="preserve">      Total Other Current Assets</t>
  </si>
  <si>
    <t xml:space="preserve">   Total Current Assets</t>
  </si>
  <si>
    <t xml:space="preserve">   Fixed Assets</t>
  </si>
  <si>
    <t xml:space="preserve">      1600 Fixed operating assets</t>
  </si>
  <si>
    <t xml:space="preserve">         1620 Furniture, fixtures, &amp; equip</t>
  </si>
  <si>
    <t xml:space="preserve">      Total 1600 Fixed operating assets</t>
  </si>
  <si>
    <t xml:space="preserve">      1700 Accum depreciation- fixed operating assets</t>
  </si>
  <si>
    <t xml:space="preserve">         1720 Accum deprec - furn, fix, &amp; equip</t>
  </si>
  <si>
    <t xml:space="preserve">      Total 1700 Accum depreciation- fixed operating assets</t>
  </si>
  <si>
    <t xml:space="preserve">   Total Fixed Assets</t>
  </si>
  <si>
    <t>TOTAL ASSETS</t>
  </si>
  <si>
    <t>LIABILITIES AND EQUITY</t>
  </si>
  <si>
    <t xml:space="preserve">   Liabilities</t>
  </si>
  <si>
    <t xml:space="preserve">   Total Liabilities</t>
  </si>
  <si>
    <t xml:space="preserve">   Equity</t>
  </si>
  <si>
    <t xml:space="preserve">      3000 Without Donor Restriction (Unrestricted)</t>
  </si>
  <si>
    <t xml:space="preserve">      Retained Earnings</t>
  </si>
  <si>
    <t xml:space="preserve">      Net Revenue</t>
  </si>
  <si>
    <t xml:space="preserve">   Total Equity</t>
  </si>
  <si>
    <t>TOTAL LIABILITIES AND EQUITY</t>
  </si>
  <si>
    <t>Backlight Productions</t>
  </si>
  <si>
    <t>Statement of Financial Position</t>
  </si>
  <si>
    <t>As of June 30, 2022</t>
  </si>
  <si>
    <t>Net Revenue</t>
  </si>
  <si>
    <t>Net Operating Revenue</t>
  </si>
  <si>
    <t>Total Expenditures</t>
  </si>
  <si>
    <t xml:space="preserve">   Total 8500 Other expenses</t>
  </si>
  <si>
    <t xml:space="preserve">      8590 Other Expenses</t>
  </si>
  <si>
    <t xml:space="preserve">      8585 State Filing Fees &amp; Sales Tax</t>
  </si>
  <si>
    <t xml:space="preserve">      8580 Intellectual Property, Royalties, &amp; Licensing Fees</t>
  </si>
  <si>
    <t xml:space="preserve">      8570 Advertising expenses</t>
  </si>
  <si>
    <t xml:space="preserve">      8550 Bank &amp; Merchant fees</t>
  </si>
  <si>
    <t xml:space="preserve">      8530 Training &amp; Staff Development</t>
  </si>
  <si>
    <t xml:space="preserve">      8520 Insurance - non-employee related</t>
  </si>
  <si>
    <t xml:space="preserve">   8500 Other expenses</t>
  </si>
  <si>
    <t xml:space="preserve">   Total 8400 Other org specific expenses</t>
  </si>
  <si>
    <t xml:space="preserve">      8480 Show Sets</t>
  </si>
  <si>
    <t xml:space="preserve">      8470 Field Trip</t>
  </si>
  <si>
    <t xml:space="preserve">      8460 Inventory Sales</t>
  </si>
  <si>
    <t xml:space="preserve">      8450 Volunteer Gifts</t>
  </si>
  <si>
    <t xml:space="preserve">      8440 Props</t>
  </si>
  <si>
    <t xml:space="preserve">      8430 Music</t>
  </si>
  <si>
    <t xml:space="preserve">      8420 Costumes</t>
  </si>
  <si>
    <t xml:space="preserve">   8400 Other org specific expenses</t>
  </si>
  <si>
    <t xml:space="preserve">   Total 8300 Travel &amp; meetings expenses</t>
  </si>
  <si>
    <t xml:space="preserve">      8370 Conference Registration Fees</t>
  </si>
  <si>
    <t xml:space="preserve">      8360 Hotels &amp; Lodging</t>
  </si>
  <si>
    <t xml:space="preserve">      8350 Meals</t>
  </si>
  <si>
    <t xml:space="preserve">      8310 Transportation</t>
  </si>
  <si>
    <t xml:space="preserve">   8300 Travel &amp; meetings expenses</t>
  </si>
  <si>
    <t xml:space="preserve">   Total 8200 Facility expenses</t>
  </si>
  <si>
    <t xml:space="preserve">      8210 Office/Studio Rent</t>
  </si>
  <si>
    <t xml:space="preserve">   8200 Facility expenses</t>
  </si>
  <si>
    <t xml:space="preserve">   Total 8100 Nonpersonnel expenses</t>
  </si>
  <si>
    <t xml:space="preserve">      8190 Internet and Web Subscriptions</t>
  </si>
  <si>
    <t xml:space="preserve">      8160 Printing &amp; copying</t>
  </si>
  <si>
    <t xml:space="preserve">      8155 Equipment Rental</t>
  </si>
  <si>
    <t xml:space="preserve">      8150 Equipment</t>
  </si>
  <si>
    <t xml:space="preserve">      8140 Postage &amp; shipping</t>
  </si>
  <si>
    <t xml:space="preserve">      8110 Supplies</t>
  </si>
  <si>
    <t xml:space="preserve">   8100 Nonpersonnel expenses</t>
  </si>
  <si>
    <t xml:space="preserve">   Total 7500 Contract service expenses</t>
  </si>
  <si>
    <t xml:space="preserve">      7570 Contractors- General</t>
  </si>
  <si>
    <t xml:space="preserve">      7540 Instructor</t>
  </si>
  <si>
    <t xml:space="preserve">      7520 Accounting</t>
  </si>
  <si>
    <t xml:space="preserve">   7500 Contract service expenses</t>
  </si>
  <si>
    <t xml:space="preserve">   Total 7200 Salaries &amp; related expenses</t>
  </si>
  <si>
    <t xml:space="preserve">      7290 Payroll Service Fees</t>
  </si>
  <si>
    <t xml:space="preserve">      7270 Payroll Taxes</t>
  </si>
  <si>
    <t xml:space="preserve">      7210 Salaries &amp; Wages</t>
  </si>
  <si>
    <t xml:space="preserve">   7200 Salaries &amp; related expenses</t>
  </si>
  <si>
    <t>Expenditures</t>
  </si>
  <si>
    <t>Gross Profit</t>
  </si>
  <si>
    <t>Total Revenue</t>
  </si>
  <si>
    <t xml:space="preserve">   Total 5800 Special events</t>
  </si>
  <si>
    <t xml:space="preserve">      Total 5890 Special events - direct costs</t>
  </si>
  <si>
    <t xml:space="preserve">         5894 Other</t>
  </si>
  <si>
    <t xml:space="preserve">      5890 Special events - direct costs</t>
  </si>
  <si>
    <t xml:space="preserve">      5870 Silent Auction Sales</t>
  </si>
  <si>
    <t xml:space="preserve">      5840 In-Kind Expenses</t>
  </si>
  <si>
    <t xml:space="preserve">      5830 In-Kind Donations</t>
  </si>
  <si>
    <t xml:space="preserve">      5810 Non-Gift Portion of Tickets</t>
  </si>
  <si>
    <t xml:space="preserve">   5800 Special events</t>
  </si>
  <si>
    <t xml:space="preserve">   Total 5400 Misc Revenue</t>
  </si>
  <si>
    <t xml:space="preserve">      5490 Misc revenue</t>
  </si>
  <si>
    <t xml:space="preserve">      5480 Interest Income</t>
  </si>
  <si>
    <t xml:space="preserve">   5400 Misc Revenue</t>
  </si>
  <si>
    <t xml:space="preserve">   Total 5100 Program Sales &amp; Fees</t>
  </si>
  <si>
    <t xml:space="preserve">      5160 Fan Club Membership/ Subscription Fee</t>
  </si>
  <si>
    <t xml:space="preserve">      5140 Merchandise Sales</t>
  </si>
  <si>
    <t xml:space="preserve">      5120 Ticket Sales</t>
  </si>
  <si>
    <t xml:space="preserve">      5110 Tuition Fees</t>
  </si>
  <si>
    <t xml:space="preserve">   5100 Program Sales &amp; Fees</t>
  </si>
  <si>
    <t xml:space="preserve">   Total 4200 Non-Government Grants</t>
  </si>
  <si>
    <t xml:space="preserve">      4220 Use Restricted Grants</t>
  </si>
  <si>
    <t xml:space="preserve">   4200 Non-Government Grants</t>
  </si>
  <si>
    <t xml:space="preserve">   Total 4000 Contributions</t>
  </si>
  <si>
    <t xml:space="preserve">      4040 Indirect Giving</t>
  </si>
  <si>
    <t xml:space="preserve">      4030 Sponsorships</t>
  </si>
  <si>
    <t xml:space="preserve">      4020 Foundation contributions</t>
  </si>
  <si>
    <t xml:space="preserve">      4010 Individual/Business contributions</t>
  </si>
  <si>
    <t xml:space="preserve">   4000 Contributions</t>
  </si>
  <si>
    <t>Revenue</t>
  </si>
  <si>
    <t>September 2021 - June 2022</t>
  </si>
  <si>
    <t>Statement of Financial Activities</t>
  </si>
  <si>
    <t>Jun 2022</t>
  </si>
  <si>
    <t>May 2022</t>
  </si>
  <si>
    <t>Apr 2022</t>
  </si>
  <si>
    <t>Mar 2022</t>
  </si>
  <si>
    <t>Feb 2022</t>
  </si>
  <si>
    <t>Jan 2022</t>
  </si>
  <si>
    <t>Dec 2021</t>
  </si>
  <si>
    <t>Nov 2021</t>
  </si>
  <si>
    <t>Oct 2021</t>
  </si>
  <si>
    <t>Sep 2021</t>
  </si>
  <si>
    <t>Statement of Financial Activities by Month</t>
  </si>
  <si>
    <t>TOTAL</t>
  </si>
  <si>
    <t>Total 700 Fundraising</t>
  </si>
  <si>
    <t>720 General Fundraising</t>
  </si>
  <si>
    <t>700 Fundraising</t>
  </si>
  <si>
    <t>600 Administrative</t>
  </si>
  <si>
    <t>Total 100 Programs</t>
  </si>
  <si>
    <t>120 General Program</t>
  </si>
  <si>
    <t>113 Creative Movement</t>
  </si>
  <si>
    <t>112 It's a Wonderful Life</t>
  </si>
  <si>
    <t>111 Shrek, the Musical</t>
  </si>
  <si>
    <t>109 Summer Camp</t>
  </si>
  <si>
    <t>108 Backlight Night Out</t>
  </si>
  <si>
    <t>106 Dance</t>
  </si>
  <si>
    <t>105 Music</t>
  </si>
  <si>
    <t>104 Theater 2</t>
  </si>
  <si>
    <t>102 Theater 1</t>
  </si>
  <si>
    <t>Total 101 Production</t>
  </si>
  <si>
    <t>101.8 Fan Clubs</t>
  </si>
  <si>
    <t>101.5 New Works Writers Lab</t>
  </si>
  <si>
    <t>101.4 Of Birds Who Try</t>
  </si>
  <si>
    <t>101.3 Masterclass Video Series</t>
  </si>
  <si>
    <t>101.2 A Covid-Friendly Christmas</t>
  </si>
  <si>
    <t>101 Production</t>
  </si>
  <si>
    <t>100 Programs</t>
  </si>
  <si>
    <t>Statement of Financial Activities by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</si>
</sst>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\ _€"/>
    <numFmt numFmtId="167" formatCode="_(&quot;$&quot;* #,##0_);_(&quot;$&quot;* \(#,##0\);_(&quot;$&quot;* &quot;-&quot;??_);_(@_)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167" fontId="3" fillId="0" borderId="0" xfId="1" applyNumberFormat="1" applyFont="1" applyAlignment="1">
      <alignment horizontal="left" wrapText="1"/>
    </xf>
    <xf numFmtId="167" fontId="2" fillId="0" borderId="2" xfId="1" applyNumberFormat="1" applyFont="1" applyBorder="1" applyAlignment="1">
      <alignment horizontal="left" wrapText="1"/>
    </xf>
    <xf numFmtId="167" fontId="2" fillId="0" borderId="3" xfId="1" applyNumberFormat="1" applyFont="1" applyBorder="1" applyAlignment="1">
      <alignment horizontal="left" wrapText="1"/>
    </xf>
    <xf numFmtId="167" fontId="2" fillId="0" borderId="0" xfId="1" applyNumberFormat="1" applyFont="1" applyBorder="1" applyAlignment="1">
      <alignment horizontal="left" wrapText="1"/>
    </xf>
    <xf numFmtId="167" fontId="2" fillId="0" borderId="4" xfId="1" applyNumberFormat="1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9"/>
  <sheetViews>
    <sheetView tabSelected="1" zoomScaleNormal="100" zoomScaleSheetLayoutView="100" workbookViewId="0">
      <pane ySplit="5" topLeftCell="A6" activePane="bottomLeft" state="frozen"/>
      <selection pane="bottomLeft" sqref="A1:B1"/>
    </sheetView>
  </sheetViews>
  <sheetFormatPr defaultRowHeight="14.4" x14ac:dyDescent="0.3"/>
  <cols>
    <col min="1" max="1" width="45.77734375" customWidth="1"/>
    <col min="2" max="2" width="25.77734375" customWidth="1"/>
  </cols>
  <sheetData>
    <row r="1" spans="1:2" ht="17.399999999999999" x14ac:dyDescent="0.3">
      <c r="A1" s="5" t="s">
        <v>33</v>
      </c>
      <c r="B1" s="6"/>
    </row>
    <row r="2" spans="1:2" ht="17.399999999999999" x14ac:dyDescent="0.3">
      <c r="A2" s="5" t="s">
        <v>34</v>
      </c>
      <c r="B2" s="6"/>
    </row>
    <row r="3" spans="1:2" x14ac:dyDescent="0.3">
      <c r="A3" s="7" t="s">
        <v>35</v>
      </c>
      <c r="B3" s="6"/>
    </row>
    <row r="5" spans="1:2" x14ac:dyDescent="0.3">
      <c r="A5" s="1"/>
      <c r="B5" s="2" t="s">
        <v>0</v>
      </c>
    </row>
    <row r="6" spans="1:2" x14ac:dyDescent="0.3">
      <c r="A6" s="3" t="s">
        <v>1</v>
      </c>
      <c r="B6" s="4"/>
    </row>
    <row r="7" spans="1:2" x14ac:dyDescent="0.3">
      <c r="A7" s="3" t="s">
        <v>2</v>
      </c>
      <c r="B7" s="4"/>
    </row>
    <row r="8" spans="1:2" x14ac:dyDescent="0.3">
      <c r="A8" s="3" t="s">
        <v>3</v>
      </c>
      <c r="B8" s="4"/>
    </row>
    <row r="9" spans="1:2" x14ac:dyDescent="0.3">
      <c r="A9" s="3" t="s">
        <v>4</v>
      </c>
      <c r="B9" s="4"/>
    </row>
    <row r="10" spans="1:2" x14ac:dyDescent="0.3">
      <c r="A10" s="3" t="s">
        <v>5</v>
      </c>
      <c r="B10" s="8">
        <f>27409.61</f>
        <v>27409.61</v>
      </c>
    </row>
    <row r="11" spans="1:2" x14ac:dyDescent="0.3">
      <c r="A11" s="3" t="s">
        <v>6</v>
      </c>
      <c r="B11" s="8">
        <f>22174.1</f>
        <v>22174.1</v>
      </c>
    </row>
    <row r="12" spans="1:2" hidden="1" x14ac:dyDescent="0.3">
      <c r="A12" s="3" t="s">
        <v>7</v>
      </c>
      <c r="B12" s="10">
        <f>((B9)+(B10))+(B11)</f>
        <v>49583.71</v>
      </c>
    </row>
    <row r="13" spans="1:2" hidden="1" x14ac:dyDescent="0.3">
      <c r="A13" s="3"/>
      <c r="B13" s="11"/>
    </row>
    <row r="14" spans="1:2" x14ac:dyDescent="0.3">
      <c r="A14" s="3" t="s">
        <v>8</v>
      </c>
      <c r="B14" s="9">
        <f>B12</f>
        <v>49583.71</v>
      </c>
    </row>
    <row r="15" spans="1:2" x14ac:dyDescent="0.3">
      <c r="A15" s="3"/>
      <c r="B15" s="11"/>
    </row>
    <row r="16" spans="1:2" x14ac:dyDescent="0.3">
      <c r="A16" s="3" t="s">
        <v>9</v>
      </c>
      <c r="B16" s="8"/>
    </row>
    <row r="17" spans="1:2" x14ac:dyDescent="0.3">
      <c r="A17" s="3" t="s">
        <v>10</v>
      </c>
      <c r="B17" s="8"/>
    </row>
    <row r="18" spans="1:2" x14ac:dyDescent="0.3">
      <c r="A18" s="3" t="s">
        <v>11</v>
      </c>
      <c r="B18" s="8">
        <f>250</f>
        <v>250</v>
      </c>
    </row>
    <row r="19" spans="1:2" hidden="1" x14ac:dyDescent="0.3">
      <c r="A19" s="3" t="s">
        <v>12</v>
      </c>
      <c r="B19" s="10">
        <f>(B17)+(B18)</f>
        <v>250</v>
      </c>
    </row>
    <row r="20" spans="1:2" hidden="1" x14ac:dyDescent="0.3">
      <c r="A20" s="3"/>
      <c r="B20" s="11"/>
    </row>
    <row r="21" spans="1:2" x14ac:dyDescent="0.3">
      <c r="A21" s="3" t="s">
        <v>13</v>
      </c>
      <c r="B21" s="10">
        <f>B19</f>
        <v>250</v>
      </c>
    </row>
    <row r="22" spans="1:2" x14ac:dyDescent="0.3">
      <c r="A22" s="3"/>
      <c r="B22" s="11"/>
    </row>
    <row r="23" spans="1:2" hidden="1" x14ac:dyDescent="0.3">
      <c r="A23" s="3" t="s">
        <v>14</v>
      </c>
      <c r="B23" s="9">
        <f>(B14)+(B21)</f>
        <v>49833.71</v>
      </c>
    </row>
    <row r="24" spans="1:2" hidden="1" x14ac:dyDescent="0.3">
      <c r="A24" s="3"/>
      <c r="B24" s="11"/>
    </row>
    <row r="25" spans="1:2" hidden="1" x14ac:dyDescent="0.3">
      <c r="A25" s="3" t="s">
        <v>15</v>
      </c>
      <c r="B25" s="8"/>
    </row>
    <row r="26" spans="1:2" hidden="1" x14ac:dyDescent="0.3">
      <c r="A26" s="3" t="s">
        <v>16</v>
      </c>
      <c r="B26" s="8"/>
    </row>
    <row r="27" spans="1:2" hidden="1" x14ac:dyDescent="0.3">
      <c r="A27" s="3" t="s">
        <v>17</v>
      </c>
      <c r="B27" s="8">
        <f>4358.39</f>
        <v>4358.3900000000003</v>
      </c>
    </row>
    <row r="28" spans="1:2" hidden="1" x14ac:dyDescent="0.3">
      <c r="A28" s="3" t="s">
        <v>18</v>
      </c>
      <c r="B28" s="9">
        <f>(B26)+(B27)</f>
        <v>4358.3900000000003</v>
      </c>
    </row>
    <row r="29" spans="1:2" hidden="1" x14ac:dyDescent="0.3">
      <c r="A29" s="3"/>
      <c r="B29" s="11"/>
    </row>
    <row r="30" spans="1:2" hidden="1" x14ac:dyDescent="0.3">
      <c r="A30" s="3" t="s">
        <v>19</v>
      </c>
      <c r="B30" s="8"/>
    </row>
    <row r="31" spans="1:2" hidden="1" x14ac:dyDescent="0.3">
      <c r="A31" s="3" t="s">
        <v>20</v>
      </c>
      <c r="B31" s="8">
        <f>-4358.39</f>
        <v>-4358.3900000000003</v>
      </c>
    </row>
    <row r="32" spans="1:2" hidden="1" x14ac:dyDescent="0.3">
      <c r="A32" s="3" t="s">
        <v>21</v>
      </c>
      <c r="B32" s="10">
        <f>(B30)+(B31)</f>
        <v>-4358.3900000000003</v>
      </c>
    </row>
    <row r="33" spans="1:2" hidden="1" x14ac:dyDescent="0.3">
      <c r="A33" s="3"/>
      <c r="B33" s="11"/>
    </row>
    <row r="34" spans="1:2" hidden="1" x14ac:dyDescent="0.3">
      <c r="A34" s="3" t="s">
        <v>22</v>
      </c>
      <c r="B34" s="10">
        <f>(B28)+(B32)</f>
        <v>0</v>
      </c>
    </row>
    <row r="35" spans="1:2" hidden="1" x14ac:dyDescent="0.3">
      <c r="A35" s="3"/>
      <c r="B35" s="11"/>
    </row>
    <row r="36" spans="1:2" ht="15" thickBot="1" x14ac:dyDescent="0.35">
      <c r="A36" s="3" t="s">
        <v>23</v>
      </c>
      <c r="B36" s="12">
        <f>(B23)+(B34)</f>
        <v>49833.71</v>
      </c>
    </row>
    <row r="37" spans="1:2" ht="15" thickTop="1" x14ac:dyDescent="0.3">
      <c r="A37" s="3"/>
      <c r="B37" s="11"/>
    </row>
    <row r="38" spans="1:2" x14ac:dyDescent="0.3">
      <c r="A38" s="3" t="s">
        <v>24</v>
      </c>
      <c r="B38" s="8"/>
    </row>
    <row r="39" spans="1:2" hidden="1" x14ac:dyDescent="0.3">
      <c r="A39" s="3" t="s">
        <v>25</v>
      </c>
      <c r="B39" s="8"/>
    </row>
    <row r="40" spans="1:2" hidden="1" x14ac:dyDescent="0.3">
      <c r="A40" s="3" t="s">
        <v>26</v>
      </c>
      <c r="B40" s="8"/>
    </row>
    <row r="41" spans="1:2" hidden="1" x14ac:dyDescent="0.3">
      <c r="A41" s="3"/>
      <c r="B41" s="8"/>
    </row>
    <row r="42" spans="1:2" x14ac:dyDescent="0.3">
      <c r="A42" s="3" t="s">
        <v>27</v>
      </c>
      <c r="B42" s="8"/>
    </row>
    <row r="43" spans="1:2" x14ac:dyDescent="0.3">
      <c r="A43" s="3" t="s">
        <v>28</v>
      </c>
      <c r="B43" s="8">
        <f>41744.14</f>
        <v>41744.14</v>
      </c>
    </row>
    <row r="44" spans="1:2" hidden="1" x14ac:dyDescent="0.3">
      <c r="A44" s="3" t="s">
        <v>29</v>
      </c>
      <c r="B44" s="8"/>
    </row>
    <row r="45" spans="1:2" x14ac:dyDescent="0.3">
      <c r="A45" s="3" t="s">
        <v>30</v>
      </c>
      <c r="B45" s="8">
        <f>8089.57</f>
        <v>8089.57</v>
      </c>
    </row>
    <row r="46" spans="1:2" x14ac:dyDescent="0.3">
      <c r="A46" s="3" t="s">
        <v>31</v>
      </c>
      <c r="B46" s="10">
        <f>((B43)+(B44))+(B45)</f>
        <v>49833.71</v>
      </c>
    </row>
    <row r="47" spans="1:2" x14ac:dyDescent="0.3">
      <c r="A47" s="3"/>
      <c r="B47" s="11"/>
    </row>
    <row r="48" spans="1:2" ht="15" thickBot="1" x14ac:dyDescent="0.35">
      <c r="A48" s="3" t="s">
        <v>32</v>
      </c>
      <c r="B48" s="12">
        <f>(B40)+(B46)</f>
        <v>49833.71</v>
      </c>
    </row>
    <row r="49" spans="1:2" ht="15" thickTop="1" x14ac:dyDescent="0.3">
      <c r="A49" s="3"/>
      <c r="B49" s="4"/>
    </row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3A1BA-B137-445E-9566-94E711D0F3C2}">
  <sheetPr>
    <pageSetUpPr fitToPage="1"/>
  </sheetPr>
  <dimension ref="A1:B104"/>
  <sheetViews>
    <sheetView zoomScaleNormal="100" zoomScaleSheetLayoutView="100" workbookViewId="0">
      <pane ySplit="5" topLeftCell="A6" activePane="bottomLeft" state="frozen"/>
      <selection pane="bottomLeft" sqref="A1:B1"/>
    </sheetView>
  </sheetViews>
  <sheetFormatPr defaultRowHeight="14.4" x14ac:dyDescent="0.3"/>
  <cols>
    <col min="1" max="1" width="45.77734375" customWidth="1"/>
    <col min="2" max="2" width="25.77734375" customWidth="1"/>
  </cols>
  <sheetData>
    <row r="1" spans="1:2" ht="17.399999999999999" x14ac:dyDescent="0.3">
      <c r="A1" s="5" t="s">
        <v>33</v>
      </c>
      <c r="B1" s="6"/>
    </row>
    <row r="2" spans="1:2" ht="17.399999999999999" x14ac:dyDescent="0.3">
      <c r="A2" s="5" t="s">
        <v>117</v>
      </c>
      <c r="B2" s="6"/>
    </row>
    <row r="3" spans="1:2" x14ac:dyDescent="0.3">
      <c r="A3" s="7" t="s">
        <v>116</v>
      </c>
      <c r="B3" s="6"/>
    </row>
    <row r="5" spans="1:2" x14ac:dyDescent="0.3">
      <c r="A5" s="1"/>
      <c r="B5" s="2" t="s">
        <v>0</v>
      </c>
    </row>
    <row r="6" spans="1:2" x14ac:dyDescent="0.3">
      <c r="A6" s="3" t="s">
        <v>115</v>
      </c>
      <c r="B6" s="4"/>
    </row>
    <row r="7" spans="1:2" x14ac:dyDescent="0.3">
      <c r="A7" s="3" t="s">
        <v>114</v>
      </c>
      <c r="B7" s="4"/>
    </row>
    <row r="8" spans="1:2" x14ac:dyDescent="0.3">
      <c r="A8" s="3" t="s">
        <v>113</v>
      </c>
      <c r="B8" s="8">
        <f>43909.06</f>
        <v>43909.06</v>
      </c>
    </row>
    <row r="9" spans="1:2" x14ac:dyDescent="0.3">
      <c r="A9" s="3" t="s">
        <v>112</v>
      </c>
      <c r="B9" s="8">
        <f>7000</f>
        <v>7000</v>
      </c>
    </row>
    <row r="10" spans="1:2" x14ac:dyDescent="0.3">
      <c r="A10" s="3" t="s">
        <v>111</v>
      </c>
      <c r="B10" s="8">
        <f>600</f>
        <v>600</v>
      </c>
    </row>
    <row r="11" spans="1:2" x14ac:dyDescent="0.3">
      <c r="A11" s="3" t="s">
        <v>110</v>
      </c>
      <c r="B11" s="8">
        <f>743.15</f>
        <v>743.15</v>
      </c>
    </row>
    <row r="12" spans="1:2" x14ac:dyDescent="0.3">
      <c r="A12" s="3" t="s">
        <v>109</v>
      </c>
      <c r="B12" s="10">
        <f>((((B7)+(B8))+(B9))+(B10))+(B11)</f>
        <v>52252.21</v>
      </c>
    </row>
    <row r="13" spans="1:2" x14ac:dyDescent="0.3">
      <c r="A13" s="3"/>
      <c r="B13" s="11"/>
    </row>
    <row r="14" spans="1:2" x14ac:dyDescent="0.3">
      <c r="A14" s="3" t="s">
        <v>108</v>
      </c>
      <c r="B14" s="8"/>
    </row>
    <row r="15" spans="1:2" x14ac:dyDescent="0.3">
      <c r="A15" s="3" t="s">
        <v>107</v>
      </c>
      <c r="B15" s="8">
        <f>5000</f>
        <v>5000</v>
      </c>
    </row>
    <row r="16" spans="1:2" x14ac:dyDescent="0.3">
      <c r="A16" s="3" t="s">
        <v>106</v>
      </c>
      <c r="B16" s="10">
        <f>(B14)+(B15)</f>
        <v>5000</v>
      </c>
    </row>
    <row r="17" spans="1:2" x14ac:dyDescent="0.3">
      <c r="A17" s="3"/>
      <c r="B17" s="11"/>
    </row>
    <row r="18" spans="1:2" x14ac:dyDescent="0.3">
      <c r="A18" s="3" t="s">
        <v>105</v>
      </c>
      <c r="B18" s="8"/>
    </row>
    <row r="19" spans="1:2" x14ac:dyDescent="0.3">
      <c r="A19" s="3" t="s">
        <v>104</v>
      </c>
      <c r="B19" s="8">
        <f>43689</f>
        <v>43689</v>
      </c>
    </row>
    <row r="20" spans="1:2" x14ac:dyDescent="0.3">
      <c r="A20" s="3" t="s">
        <v>103</v>
      </c>
      <c r="B20" s="8">
        <f>19265.79</f>
        <v>19265.79</v>
      </c>
    </row>
    <row r="21" spans="1:2" x14ac:dyDescent="0.3">
      <c r="A21" s="3" t="s">
        <v>102</v>
      </c>
      <c r="B21" s="8">
        <f>5333.57</f>
        <v>5333.57</v>
      </c>
    </row>
    <row r="22" spans="1:2" x14ac:dyDescent="0.3">
      <c r="A22" s="3" t="s">
        <v>101</v>
      </c>
      <c r="B22" s="8">
        <f>1064.97</f>
        <v>1064.97</v>
      </c>
    </row>
    <row r="23" spans="1:2" x14ac:dyDescent="0.3">
      <c r="A23" s="3" t="s">
        <v>100</v>
      </c>
      <c r="B23" s="10">
        <f>((((B18)+(B19))+(B20))+(B21))+(B22)</f>
        <v>69353.33</v>
      </c>
    </row>
    <row r="24" spans="1:2" x14ac:dyDescent="0.3">
      <c r="A24" s="3"/>
      <c r="B24" s="11"/>
    </row>
    <row r="25" spans="1:2" x14ac:dyDescent="0.3">
      <c r="A25" s="3" t="s">
        <v>99</v>
      </c>
      <c r="B25" s="8"/>
    </row>
    <row r="26" spans="1:2" x14ac:dyDescent="0.3">
      <c r="A26" s="3" t="s">
        <v>98</v>
      </c>
      <c r="B26" s="8">
        <f>1.84</f>
        <v>1.84</v>
      </c>
    </row>
    <row r="27" spans="1:2" x14ac:dyDescent="0.3">
      <c r="A27" s="3" t="s">
        <v>97</v>
      </c>
      <c r="B27" s="8">
        <f>1308.4</f>
        <v>1308.4000000000001</v>
      </c>
    </row>
    <row r="28" spans="1:2" x14ac:dyDescent="0.3">
      <c r="A28" s="3" t="s">
        <v>96</v>
      </c>
      <c r="B28" s="10">
        <f>((B25)+(B26))+(B27)</f>
        <v>1310.24</v>
      </c>
    </row>
    <row r="29" spans="1:2" x14ac:dyDescent="0.3">
      <c r="A29" s="3"/>
      <c r="B29" s="11"/>
    </row>
    <row r="30" spans="1:2" x14ac:dyDescent="0.3">
      <c r="A30" s="3" t="s">
        <v>95</v>
      </c>
      <c r="B30" s="8"/>
    </row>
    <row r="31" spans="1:2" x14ac:dyDescent="0.3">
      <c r="A31" s="3" t="s">
        <v>94</v>
      </c>
      <c r="B31" s="8">
        <f>702</f>
        <v>702</v>
      </c>
    </row>
    <row r="32" spans="1:2" x14ac:dyDescent="0.3">
      <c r="A32" s="3" t="s">
        <v>93</v>
      </c>
      <c r="B32" s="8">
        <f>705</f>
        <v>705</v>
      </c>
    </row>
    <row r="33" spans="1:2" x14ac:dyDescent="0.3">
      <c r="A33" s="3" t="s">
        <v>92</v>
      </c>
      <c r="B33" s="8">
        <f>-705</f>
        <v>-705</v>
      </c>
    </row>
    <row r="34" spans="1:2" x14ac:dyDescent="0.3">
      <c r="A34" s="3" t="s">
        <v>91</v>
      </c>
      <c r="B34" s="8">
        <f>240</f>
        <v>240</v>
      </c>
    </row>
    <row r="35" spans="1:2" x14ac:dyDescent="0.3">
      <c r="A35" s="3"/>
      <c r="B35" s="8"/>
    </row>
    <row r="36" spans="1:2" x14ac:dyDescent="0.3">
      <c r="A36" s="3" t="s">
        <v>90</v>
      </c>
      <c r="B36" s="8"/>
    </row>
    <row r="37" spans="1:2" x14ac:dyDescent="0.3">
      <c r="A37" s="3" t="s">
        <v>89</v>
      </c>
      <c r="B37" s="8">
        <f>-18</f>
        <v>-18</v>
      </c>
    </row>
    <row r="38" spans="1:2" x14ac:dyDescent="0.3">
      <c r="A38" s="3" t="s">
        <v>88</v>
      </c>
      <c r="B38" s="10">
        <f>(B36)+(B37)</f>
        <v>-18</v>
      </c>
    </row>
    <row r="39" spans="1:2" x14ac:dyDescent="0.3">
      <c r="A39" s="3"/>
      <c r="B39" s="11"/>
    </row>
    <row r="40" spans="1:2" x14ac:dyDescent="0.3">
      <c r="A40" s="3" t="s">
        <v>87</v>
      </c>
      <c r="B40" s="10">
        <f>(((((B30)+(B31))+(B32))+(B33))+(B34))+(B38)</f>
        <v>924</v>
      </c>
    </row>
    <row r="41" spans="1:2" x14ac:dyDescent="0.3">
      <c r="A41" s="3"/>
      <c r="B41" s="11"/>
    </row>
    <row r="42" spans="1:2" hidden="1" x14ac:dyDescent="0.3">
      <c r="A42" s="3" t="s">
        <v>86</v>
      </c>
      <c r="B42" s="10">
        <f>((((B12)+(B16))+(B23))+(B28))+(B40)</f>
        <v>128839.78000000001</v>
      </c>
    </row>
    <row r="43" spans="1:2" hidden="1" x14ac:dyDescent="0.3">
      <c r="A43" s="3"/>
      <c r="B43" s="11"/>
    </row>
    <row r="44" spans="1:2" x14ac:dyDescent="0.3">
      <c r="A44" s="3" t="s">
        <v>85</v>
      </c>
      <c r="B44" s="10">
        <f>(B42)-(0)</f>
        <v>128839.78000000001</v>
      </c>
    </row>
    <row r="45" spans="1:2" x14ac:dyDescent="0.3">
      <c r="A45" s="3"/>
      <c r="B45" s="11"/>
    </row>
    <row r="46" spans="1:2" x14ac:dyDescent="0.3">
      <c r="A46" s="3" t="s">
        <v>84</v>
      </c>
      <c r="B46" s="8"/>
    </row>
    <row r="47" spans="1:2" x14ac:dyDescent="0.3">
      <c r="A47" s="3" t="s">
        <v>83</v>
      </c>
      <c r="B47" s="8"/>
    </row>
    <row r="48" spans="1:2" x14ac:dyDescent="0.3">
      <c r="A48" s="3" t="s">
        <v>82</v>
      </c>
      <c r="B48" s="8">
        <f>36700</f>
        <v>36700</v>
      </c>
    </row>
    <row r="49" spans="1:2" x14ac:dyDescent="0.3">
      <c r="A49" s="3" t="s">
        <v>81</v>
      </c>
      <c r="B49" s="8">
        <f>2807.55</f>
        <v>2807.55</v>
      </c>
    </row>
    <row r="50" spans="1:2" x14ac:dyDescent="0.3">
      <c r="A50" s="3" t="s">
        <v>80</v>
      </c>
      <c r="B50" s="8">
        <f>669.04</f>
        <v>669.04</v>
      </c>
    </row>
    <row r="51" spans="1:2" x14ac:dyDescent="0.3">
      <c r="A51" s="3" t="s">
        <v>79</v>
      </c>
      <c r="B51" s="10">
        <f>(((B47)+(B48))+(B49))+(B50)</f>
        <v>40176.590000000004</v>
      </c>
    </row>
    <row r="52" spans="1:2" x14ac:dyDescent="0.3">
      <c r="A52" s="3"/>
      <c r="B52" s="11"/>
    </row>
    <row r="53" spans="1:2" x14ac:dyDescent="0.3">
      <c r="A53" s="3" t="s">
        <v>78</v>
      </c>
      <c r="B53" s="8"/>
    </row>
    <row r="54" spans="1:2" x14ac:dyDescent="0.3">
      <c r="A54" s="3" t="s">
        <v>77</v>
      </c>
      <c r="B54" s="8">
        <f>4443.29</f>
        <v>4443.29</v>
      </c>
    </row>
    <row r="55" spans="1:2" x14ac:dyDescent="0.3">
      <c r="A55" s="3" t="s">
        <v>76</v>
      </c>
      <c r="B55" s="8">
        <f>3700</f>
        <v>3700</v>
      </c>
    </row>
    <row r="56" spans="1:2" x14ac:dyDescent="0.3">
      <c r="A56" s="3" t="s">
        <v>75</v>
      </c>
      <c r="B56" s="8">
        <f>24175.5</f>
        <v>24175.5</v>
      </c>
    </row>
    <row r="57" spans="1:2" x14ac:dyDescent="0.3">
      <c r="A57" s="3" t="s">
        <v>74</v>
      </c>
      <c r="B57" s="10">
        <f>(((B53)+(B54))+(B55))+(B56)</f>
        <v>32318.79</v>
      </c>
    </row>
    <row r="58" spans="1:2" x14ac:dyDescent="0.3">
      <c r="A58" s="3"/>
      <c r="B58" s="11"/>
    </row>
    <row r="59" spans="1:2" x14ac:dyDescent="0.3">
      <c r="A59" s="3" t="s">
        <v>73</v>
      </c>
      <c r="B59" s="8"/>
    </row>
    <row r="60" spans="1:2" x14ac:dyDescent="0.3">
      <c r="A60" s="3" t="s">
        <v>72</v>
      </c>
      <c r="B60" s="8">
        <f>1728.69</f>
        <v>1728.69</v>
      </c>
    </row>
    <row r="61" spans="1:2" x14ac:dyDescent="0.3">
      <c r="A61" s="3" t="s">
        <v>71</v>
      </c>
      <c r="B61" s="8">
        <f>238.89</f>
        <v>238.89</v>
      </c>
    </row>
    <row r="62" spans="1:2" x14ac:dyDescent="0.3">
      <c r="A62" s="3" t="s">
        <v>70</v>
      </c>
      <c r="B62" s="8">
        <f>109.15</f>
        <v>109.15</v>
      </c>
    </row>
    <row r="63" spans="1:2" x14ac:dyDescent="0.3">
      <c r="A63" s="3" t="s">
        <v>69</v>
      </c>
      <c r="B63" s="8">
        <f>6033.95</f>
        <v>6033.95</v>
      </c>
    </row>
    <row r="64" spans="1:2" x14ac:dyDescent="0.3">
      <c r="A64" s="3" t="s">
        <v>68</v>
      </c>
      <c r="B64" s="8">
        <f>786.66</f>
        <v>786.66</v>
      </c>
    </row>
    <row r="65" spans="1:2" x14ac:dyDescent="0.3">
      <c r="A65" s="3" t="s">
        <v>67</v>
      </c>
      <c r="B65" s="8">
        <f>1002.85</f>
        <v>1002.85</v>
      </c>
    </row>
    <row r="66" spans="1:2" x14ac:dyDescent="0.3">
      <c r="A66" s="3" t="s">
        <v>66</v>
      </c>
      <c r="B66" s="10">
        <f>((((((B59)+(B60))+(B61))+(B62))+(B63))+(B64))+(B65)</f>
        <v>9900.19</v>
      </c>
    </row>
    <row r="67" spans="1:2" x14ac:dyDescent="0.3">
      <c r="A67" s="3"/>
      <c r="B67" s="11"/>
    </row>
    <row r="68" spans="1:2" x14ac:dyDescent="0.3">
      <c r="A68" s="3" t="s">
        <v>65</v>
      </c>
      <c r="B68" s="8"/>
    </row>
    <row r="69" spans="1:2" x14ac:dyDescent="0.3">
      <c r="A69" s="3" t="s">
        <v>64</v>
      </c>
      <c r="B69" s="8">
        <f>17036</f>
        <v>17036</v>
      </c>
    </row>
    <row r="70" spans="1:2" x14ac:dyDescent="0.3">
      <c r="A70" s="3" t="s">
        <v>63</v>
      </c>
      <c r="B70" s="10">
        <f>(B68)+(B69)</f>
        <v>17036</v>
      </c>
    </row>
    <row r="71" spans="1:2" x14ac:dyDescent="0.3">
      <c r="A71" s="3"/>
      <c r="B71" s="11"/>
    </row>
    <row r="72" spans="1:2" x14ac:dyDescent="0.3">
      <c r="A72" s="3" t="s">
        <v>62</v>
      </c>
      <c r="B72" s="8"/>
    </row>
    <row r="73" spans="1:2" x14ac:dyDescent="0.3">
      <c r="A73" s="3" t="s">
        <v>61</v>
      </c>
      <c r="B73" s="8">
        <f>772.55</f>
        <v>772.55</v>
      </c>
    </row>
    <row r="74" spans="1:2" x14ac:dyDescent="0.3">
      <c r="A74" s="3" t="s">
        <v>60</v>
      </c>
      <c r="B74" s="8">
        <f>1883.21</f>
        <v>1883.21</v>
      </c>
    </row>
    <row r="75" spans="1:2" x14ac:dyDescent="0.3">
      <c r="A75" s="3" t="s">
        <v>59</v>
      </c>
      <c r="B75" s="8">
        <f>520.43</f>
        <v>520.42999999999995</v>
      </c>
    </row>
    <row r="76" spans="1:2" x14ac:dyDescent="0.3">
      <c r="A76" s="3" t="s">
        <v>58</v>
      </c>
      <c r="B76" s="8">
        <f>581.4</f>
        <v>581.4</v>
      </c>
    </row>
    <row r="77" spans="1:2" x14ac:dyDescent="0.3">
      <c r="A77" s="3" t="s">
        <v>57</v>
      </c>
      <c r="B77" s="10">
        <f>((((B72)+(B73))+(B74))+(B75))+(B76)</f>
        <v>3757.59</v>
      </c>
    </row>
    <row r="78" spans="1:2" x14ac:dyDescent="0.3">
      <c r="A78" s="3"/>
      <c r="B78" s="11"/>
    </row>
    <row r="79" spans="1:2" x14ac:dyDescent="0.3">
      <c r="A79" s="3" t="s">
        <v>56</v>
      </c>
      <c r="B79" s="8"/>
    </row>
    <row r="80" spans="1:2" x14ac:dyDescent="0.3">
      <c r="A80" s="3" t="s">
        <v>55</v>
      </c>
      <c r="B80" s="8">
        <f>3680.59</f>
        <v>3680.59</v>
      </c>
    </row>
    <row r="81" spans="1:2" x14ac:dyDescent="0.3">
      <c r="A81" s="3" t="s">
        <v>54</v>
      </c>
      <c r="B81" s="8">
        <f>1341.25</f>
        <v>1341.25</v>
      </c>
    </row>
    <row r="82" spans="1:2" x14ac:dyDescent="0.3">
      <c r="A82" s="3" t="s">
        <v>53</v>
      </c>
      <c r="B82" s="8">
        <f>852.1</f>
        <v>852.1</v>
      </c>
    </row>
    <row r="83" spans="1:2" x14ac:dyDescent="0.3">
      <c r="A83" s="3" t="s">
        <v>52</v>
      </c>
      <c r="B83" s="8">
        <f>535.3</f>
        <v>535.29999999999995</v>
      </c>
    </row>
    <row r="84" spans="1:2" x14ac:dyDescent="0.3">
      <c r="A84" s="3" t="s">
        <v>51</v>
      </c>
      <c r="B84" s="8">
        <f>1188.85</f>
        <v>1188.8499999999999</v>
      </c>
    </row>
    <row r="85" spans="1:2" x14ac:dyDescent="0.3">
      <c r="A85" s="3" t="s">
        <v>50</v>
      </c>
      <c r="B85" s="8">
        <f>640</f>
        <v>640</v>
      </c>
    </row>
    <row r="86" spans="1:2" x14ac:dyDescent="0.3">
      <c r="A86" s="3" t="s">
        <v>49</v>
      </c>
      <c r="B86" s="8">
        <f>740.12</f>
        <v>740.12</v>
      </c>
    </row>
    <row r="87" spans="1:2" x14ac:dyDescent="0.3">
      <c r="A87" s="3" t="s">
        <v>48</v>
      </c>
      <c r="B87" s="10">
        <f>(((((((B79)+(B80))+(B81))+(B82))+(B83))+(B84))+(B85))+(B86)</f>
        <v>8978.2100000000009</v>
      </c>
    </row>
    <row r="88" spans="1:2" x14ac:dyDescent="0.3">
      <c r="A88" s="3"/>
      <c r="B88" s="11"/>
    </row>
    <row r="89" spans="1:2" x14ac:dyDescent="0.3">
      <c r="A89" s="3" t="s">
        <v>47</v>
      </c>
      <c r="B89" s="8"/>
    </row>
    <row r="90" spans="1:2" x14ac:dyDescent="0.3">
      <c r="A90" s="3" t="s">
        <v>46</v>
      </c>
      <c r="B90" s="8">
        <f>3401.23</f>
        <v>3401.23</v>
      </c>
    </row>
    <row r="91" spans="1:2" x14ac:dyDescent="0.3">
      <c r="A91" s="3" t="s">
        <v>45</v>
      </c>
      <c r="B91" s="8">
        <f>655.61</f>
        <v>655.61</v>
      </c>
    </row>
    <row r="92" spans="1:2" x14ac:dyDescent="0.3">
      <c r="A92" s="3" t="s">
        <v>44</v>
      </c>
      <c r="B92" s="8">
        <f>2090.94</f>
        <v>2090.94</v>
      </c>
    </row>
    <row r="93" spans="1:2" x14ac:dyDescent="0.3">
      <c r="A93" s="3" t="s">
        <v>43</v>
      </c>
      <c r="B93" s="8">
        <f>1536.25</f>
        <v>1536.25</v>
      </c>
    </row>
    <row r="94" spans="1:2" x14ac:dyDescent="0.3">
      <c r="A94" s="3" t="s">
        <v>42</v>
      </c>
      <c r="B94" s="8">
        <f>584.48</f>
        <v>584.48</v>
      </c>
    </row>
    <row r="95" spans="1:2" x14ac:dyDescent="0.3">
      <c r="A95" s="3" t="s">
        <v>41</v>
      </c>
      <c r="B95" s="8">
        <f>140.46</f>
        <v>140.46</v>
      </c>
    </row>
    <row r="96" spans="1:2" x14ac:dyDescent="0.3">
      <c r="A96" s="3" t="s">
        <v>40</v>
      </c>
      <c r="B96" s="8">
        <f>173.87</f>
        <v>173.87</v>
      </c>
    </row>
    <row r="97" spans="1:2" x14ac:dyDescent="0.3">
      <c r="A97" s="3" t="s">
        <v>39</v>
      </c>
      <c r="B97" s="10">
        <f>(((((((B89)+(B90))+(B91))+(B92))+(B93))+(B94))+(B95))+(B96)</f>
        <v>8582.84</v>
      </c>
    </row>
    <row r="98" spans="1:2" x14ac:dyDescent="0.3">
      <c r="A98" s="3"/>
      <c r="B98" s="11"/>
    </row>
    <row r="99" spans="1:2" x14ac:dyDescent="0.3">
      <c r="A99" s="3" t="s">
        <v>38</v>
      </c>
      <c r="B99" s="10">
        <f>((((((B51)+(B57))+(B66))+(B70))+(B77))+(B87))+(B97)</f>
        <v>120750.21</v>
      </c>
    </row>
    <row r="100" spans="1:2" x14ac:dyDescent="0.3">
      <c r="A100" s="3"/>
      <c r="B100" s="11"/>
    </row>
    <row r="101" spans="1:2" hidden="1" x14ac:dyDescent="0.3">
      <c r="A101" s="3" t="s">
        <v>37</v>
      </c>
      <c r="B101" s="10">
        <f>(B44)-(B99)</f>
        <v>8089.570000000007</v>
      </c>
    </row>
    <row r="102" spans="1:2" hidden="1" x14ac:dyDescent="0.3">
      <c r="A102" s="3"/>
      <c r="B102" s="11"/>
    </row>
    <row r="103" spans="1:2" ht="15" thickBot="1" x14ac:dyDescent="0.35">
      <c r="A103" s="3" t="s">
        <v>36</v>
      </c>
      <c r="B103" s="12">
        <f>(B101)+(0)</f>
        <v>8089.570000000007</v>
      </c>
    </row>
    <row r="104" spans="1:2" ht="15" thickTop="1" x14ac:dyDescent="0.3">
      <c r="A104" s="3"/>
      <c r="B104" s="4"/>
    </row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0" orientation="portrait" r:id="rId1"/>
  <headerFooter>
    <oddFooter>Page &amp;P of &amp;N</oddFooter>
  </headerFooter>
  <rowBreaks count="2" manualBreakCount="2">
    <brk id="35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EE8D-9EE9-40DD-A537-817040D0588E}">
  <sheetPr>
    <pageSetUpPr fitToPage="1"/>
  </sheetPr>
  <dimension ref="A1:L104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L1"/>
    </sheetView>
  </sheetViews>
  <sheetFormatPr defaultRowHeight="14.4" x14ac:dyDescent="0.3"/>
  <cols>
    <col min="1" max="1" width="45.77734375" customWidth="1"/>
    <col min="2" max="12" width="10.77734375" customWidth="1"/>
  </cols>
  <sheetData>
    <row r="1" spans="1:12" ht="17.399999999999999" x14ac:dyDescent="0.3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7.399999999999999" x14ac:dyDescent="0.3">
      <c r="A2" s="5" t="s">
        <v>128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3">
      <c r="A3" s="7" t="s">
        <v>116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5" spans="1:12" x14ac:dyDescent="0.3">
      <c r="A5" s="1"/>
      <c r="B5" s="2" t="s">
        <v>127</v>
      </c>
      <c r="C5" s="2" t="s">
        <v>126</v>
      </c>
      <c r="D5" s="2" t="s">
        <v>125</v>
      </c>
      <c r="E5" s="2" t="s">
        <v>124</v>
      </c>
      <c r="F5" s="2" t="s">
        <v>123</v>
      </c>
      <c r="G5" s="2" t="s">
        <v>122</v>
      </c>
      <c r="H5" s="2" t="s">
        <v>121</v>
      </c>
      <c r="I5" s="2" t="s">
        <v>120</v>
      </c>
      <c r="J5" s="2" t="s">
        <v>119</v>
      </c>
      <c r="K5" s="2" t="s">
        <v>118</v>
      </c>
      <c r="L5" s="2" t="s">
        <v>0</v>
      </c>
    </row>
    <row r="6" spans="1:12" x14ac:dyDescent="0.3">
      <c r="A6" s="3" t="s">
        <v>115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">
      <c r="A7" s="3" t="s">
        <v>114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3">
      <c r="A8" s="3" t="s">
        <v>113</v>
      </c>
      <c r="B8" s="8">
        <f>1588.46</f>
        <v>1588.46</v>
      </c>
      <c r="C8" s="8">
        <f>3266</f>
        <v>3266</v>
      </c>
      <c r="D8" s="8">
        <f>4618</f>
        <v>4618</v>
      </c>
      <c r="E8" s="8">
        <f>6929.01</f>
        <v>6929.01</v>
      </c>
      <c r="F8" s="8">
        <f>2242</f>
        <v>2242</v>
      </c>
      <c r="G8" s="8">
        <f>1965</f>
        <v>1965</v>
      </c>
      <c r="H8" s="8">
        <f>6590.28</f>
        <v>6590.28</v>
      </c>
      <c r="I8" s="8">
        <f>9204.22</f>
        <v>9204.2199999999993</v>
      </c>
      <c r="J8" s="8">
        <f>5365.1</f>
        <v>5365.1</v>
      </c>
      <c r="K8" s="8">
        <f>2140.99</f>
        <v>2140.9899999999998</v>
      </c>
      <c r="L8" s="8">
        <f>(((((((((B8)+(C8))+(D8))+(E8))+(F8))+(G8))+(H8))+(I8))+(J8))+(K8)</f>
        <v>43909.06</v>
      </c>
    </row>
    <row r="9" spans="1:12" x14ac:dyDescent="0.3">
      <c r="A9" s="3" t="s">
        <v>112</v>
      </c>
      <c r="B9" s="8"/>
      <c r="C9" s="8"/>
      <c r="D9" s="8"/>
      <c r="E9" s="8">
        <f>2000</f>
        <v>2000</v>
      </c>
      <c r="F9" s="8"/>
      <c r="G9" s="8"/>
      <c r="H9" s="8"/>
      <c r="I9" s="8">
        <f>5000</f>
        <v>5000</v>
      </c>
      <c r="J9" s="8"/>
      <c r="K9" s="8"/>
      <c r="L9" s="8">
        <f>(((((((((B9)+(C9))+(D9))+(E9))+(F9))+(G9))+(H9))+(I9))+(J9))+(K9)</f>
        <v>7000</v>
      </c>
    </row>
    <row r="10" spans="1:12" x14ac:dyDescent="0.3">
      <c r="A10" s="3" t="s">
        <v>111</v>
      </c>
      <c r="B10" s="8"/>
      <c r="C10" s="8"/>
      <c r="D10" s="8"/>
      <c r="E10" s="8"/>
      <c r="F10" s="8"/>
      <c r="G10" s="8"/>
      <c r="H10" s="8">
        <f>150</f>
        <v>150</v>
      </c>
      <c r="I10" s="8">
        <f>450</f>
        <v>450</v>
      </c>
      <c r="J10" s="8"/>
      <c r="K10" s="8"/>
      <c r="L10" s="8">
        <f>(((((((((B10)+(C10))+(D10))+(E10))+(F10))+(G10))+(H10))+(I10))+(J10))+(K10)</f>
        <v>600</v>
      </c>
    </row>
    <row r="11" spans="1:12" x14ac:dyDescent="0.3">
      <c r="A11" s="3" t="s">
        <v>110</v>
      </c>
      <c r="B11" s="8"/>
      <c r="C11" s="8"/>
      <c r="D11" s="8">
        <f>23.85</f>
        <v>23.85</v>
      </c>
      <c r="E11" s="8"/>
      <c r="F11" s="8"/>
      <c r="G11" s="8">
        <f>100</f>
        <v>100</v>
      </c>
      <c r="H11" s="8">
        <f>37.7</f>
        <v>37.700000000000003</v>
      </c>
      <c r="I11" s="8"/>
      <c r="J11" s="8">
        <f>81.6</f>
        <v>81.599999999999994</v>
      </c>
      <c r="K11" s="8">
        <f>500</f>
        <v>500</v>
      </c>
      <c r="L11" s="8">
        <f>(((((((((B11)+(C11))+(D11))+(E11))+(F11))+(G11))+(H11))+(I11))+(J11))+(K11)</f>
        <v>743.15</v>
      </c>
    </row>
    <row r="12" spans="1:12" x14ac:dyDescent="0.3">
      <c r="A12" s="3" t="s">
        <v>109</v>
      </c>
      <c r="B12" s="10">
        <f>((((B7)+(B8))+(B9))+(B10))+(B11)</f>
        <v>1588.46</v>
      </c>
      <c r="C12" s="10">
        <f>((((C7)+(C8))+(C9))+(C10))+(C11)</f>
        <v>3266</v>
      </c>
      <c r="D12" s="10">
        <f>((((D7)+(D8))+(D9))+(D10))+(D11)</f>
        <v>4641.8500000000004</v>
      </c>
      <c r="E12" s="10">
        <f>((((E7)+(E8))+(E9))+(E10))+(E11)</f>
        <v>8929.01</v>
      </c>
      <c r="F12" s="10">
        <f>((((F7)+(F8))+(F9))+(F10))+(F11)</f>
        <v>2242</v>
      </c>
      <c r="G12" s="10">
        <f>((((G7)+(G8))+(G9))+(G10))+(G11)</f>
        <v>2065</v>
      </c>
      <c r="H12" s="10">
        <f>((((H7)+(H8))+(H9))+(H10))+(H11)</f>
        <v>6777.98</v>
      </c>
      <c r="I12" s="10">
        <f>((((I7)+(I8))+(I9))+(I10))+(I11)</f>
        <v>14654.22</v>
      </c>
      <c r="J12" s="10">
        <f>((((J7)+(J8))+(J9))+(J10))+(J11)</f>
        <v>5446.7000000000007</v>
      </c>
      <c r="K12" s="10">
        <f>((((K7)+(K8))+(K9))+(K10))+(K11)</f>
        <v>2640.99</v>
      </c>
      <c r="L12" s="10">
        <f>(((((((((B12)+(C12))+(D12))+(E12))+(F12))+(G12))+(H12))+(I12))+(J12))+(K12)</f>
        <v>52252.21</v>
      </c>
    </row>
    <row r="13" spans="1:12" x14ac:dyDescent="0.3">
      <c r="A13" s="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3">
      <c r="A14" s="3" t="s">
        <v>108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3">
      <c r="A15" s="3" t="s">
        <v>107</v>
      </c>
      <c r="B15" s="8"/>
      <c r="C15" s="8"/>
      <c r="D15" s="8">
        <f>5000</f>
        <v>5000</v>
      </c>
      <c r="E15" s="8"/>
      <c r="F15" s="8"/>
      <c r="G15" s="8"/>
      <c r="H15" s="8"/>
      <c r="I15" s="8"/>
      <c r="J15" s="8"/>
      <c r="K15" s="8"/>
      <c r="L15" s="8">
        <f>(((((((((B15)+(C15))+(D15))+(E15))+(F15))+(G15))+(H15))+(I15))+(J15))+(K15)</f>
        <v>5000</v>
      </c>
    </row>
    <row r="16" spans="1:12" x14ac:dyDescent="0.3">
      <c r="A16" s="3" t="s">
        <v>106</v>
      </c>
      <c r="B16" s="10">
        <f>(B14)+(B15)</f>
        <v>0</v>
      </c>
      <c r="C16" s="10">
        <f>(C14)+(C15)</f>
        <v>0</v>
      </c>
      <c r="D16" s="10">
        <f>(D14)+(D15)</f>
        <v>5000</v>
      </c>
      <c r="E16" s="10">
        <f>(E14)+(E15)</f>
        <v>0</v>
      </c>
      <c r="F16" s="10">
        <f>(F14)+(F15)</f>
        <v>0</v>
      </c>
      <c r="G16" s="10">
        <f>(G14)+(G15)</f>
        <v>0</v>
      </c>
      <c r="H16" s="10">
        <f>(H14)+(H15)</f>
        <v>0</v>
      </c>
      <c r="I16" s="10">
        <f>(I14)+(I15)</f>
        <v>0</v>
      </c>
      <c r="J16" s="10">
        <f>(J14)+(J15)</f>
        <v>0</v>
      </c>
      <c r="K16" s="10">
        <f>(K14)+(K15)</f>
        <v>0</v>
      </c>
      <c r="L16" s="10">
        <f>(((((((((B16)+(C16))+(D16))+(E16))+(F16))+(G16))+(H16))+(I16))+(J16))+(K16)</f>
        <v>5000</v>
      </c>
    </row>
    <row r="17" spans="1:12" x14ac:dyDescent="0.3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3">
      <c r="A18" s="3" t="s">
        <v>105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3">
      <c r="A19" s="3" t="s">
        <v>104</v>
      </c>
      <c r="B19" s="8">
        <f>7270</f>
        <v>7270</v>
      </c>
      <c r="C19" s="8">
        <f>4131</f>
        <v>4131</v>
      </c>
      <c r="D19" s="8">
        <f>3781</f>
        <v>3781</v>
      </c>
      <c r="E19" s="8">
        <f>5718</f>
        <v>5718</v>
      </c>
      <c r="F19" s="8">
        <f>5828</f>
        <v>5828</v>
      </c>
      <c r="G19" s="8">
        <f>3203</f>
        <v>3203</v>
      </c>
      <c r="H19" s="8">
        <f>3358</f>
        <v>3358</v>
      </c>
      <c r="I19" s="8">
        <f>2103</f>
        <v>2103</v>
      </c>
      <c r="J19" s="8">
        <f>5358</f>
        <v>5358</v>
      </c>
      <c r="K19" s="8">
        <f>2939</f>
        <v>2939</v>
      </c>
      <c r="L19" s="8">
        <f>(((((((((B19)+(C19))+(D19))+(E19))+(F19))+(G19))+(H19))+(I19))+(J19))+(K19)</f>
        <v>43689</v>
      </c>
    </row>
    <row r="20" spans="1:12" x14ac:dyDescent="0.3">
      <c r="A20" s="3" t="s">
        <v>103</v>
      </c>
      <c r="B20" s="8"/>
      <c r="C20" s="8">
        <f>210</f>
        <v>210</v>
      </c>
      <c r="D20" s="8">
        <f>2805</f>
        <v>2805</v>
      </c>
      <c r="E20" s="8"/>
      <c r="F20" s="8">
        <f>315</f>
        <v>315</v>
      </c>
      <c r="G20" s="8">
        <f>270</f>
        <v>270</v>
      </c>
      <c r="H20" s="8">
        <f>261</f>
        <v>261</v>
      </c>
      <c r="I20" s="8">
        <f>15</f>
        <v>15</v>
      </c>
      <c r="J20" s="8">
        <f>14734.45</f>
        <v>14734.45</v>
      </c>
      <c r="K20" s="8">
        <f>655.34</f>
        <v>655.34</v>
      </c>
      <c r="L20" s="8">
        <f>(((((((((B20)+(C20))+(D20))+(E20))+(F20))+(G20))+(H20))+(I20))+(J20))+(K20)</f>
        <v>19265.79</v>
      </c>
    </row>
    <row r="21" spans="1:12" x14ac:dyDescent="0.3">
      <c r="A21" s="3" t="s">
        <v>102</v>
      </c>
      <c r="B21" s="8"/>
      <c r="C21" s="8">
        <f>168</f>
        <v>168</v>
      </c>
      <c r="D21" s="8">
        <f>198</f>
        <v>198</v>
      </c>
      <c r="E21" s="8">
        <f>801.99</f>
        <v>801.99</v>
      </c>
      <c r="F21" s="8">
        <f>80</f>
        <v>80</v>
      </c>
      <c r="G21" s="8">
        <f>40</f>
        <v>40</v>
      </c>
      <c r="H21" s="8">
        <f>55.99</f>
        <v>55.99</v>
      </c>
      <c r="I21" s="8">
        <f>939.75</f>
        <v>939.75</v>
      </c>
      <c r="J21" s="8">
        <f>2120.85</f>
        <v>2120.85</v>
      </c>
      <c r="K21" s="8">
        <f>928.99</f>
        <v>928.99</v>
      </c>
      <c r="L21" s="8">
        <f>(((((((((B21)+(C21))+(D21))+(E21))+(F21))+(G21))+(H21))+(I21))+(J21))+(K21)</f>
        <v>5333.57</v>
      </c>
    </row>
    <row r="22" spans="1:12" x14ac:dyDescent="0.3">
      <c r="A22" s="3" t="s">
        <v>101</v>
      </c>
      <c r="B22" s="8"/>
      <c r="C22" s="8"/>
      <c r="D22" s="8">
        <f>300</f>
        <v>300</v>
      </c>
      <c r="E22" s="8">
        <f>303</f>
        <v>303</v>
      </c>
      <c r="F22" s="8">
        <f>307.98</f>
        <v>307.98</v>
      </c>
      <c r="G22" s="8">
        <f>-153.99</f>
        <v>-153.99</v>
      </c>
      <c r="H22" s="8"/>
      <c r="I22" s="8">
        <f>307.98</f>
        <v>307.98</v>
      </c>
      <c r="J22" s="8"/>
      <c r="K22" s="8"/>
      <c r="L22" s="8">
        <f>(((((((((B22)+(C22))+(D22))+(E22))+(F22))+(G22))+(H22))+(I22))+(J22))+(K22)</f>
        <v>1064.97</v>
      </c>
    </row>
    <row r="23" spans="1:12" x14ac:dyDescent="0.3">
      <c r="A23" s="3" t="s">
        <v>100</v>
      </c>
      <c r="B23" s="10">
        <f>((((B18)+(B19))+(B20))+(B21))+(B22)</f>
        <v>7270</v>
      </c>
      <c r="C23" s="10">
        <f>((((C18)+(C19))+(C20))+(C21))+(C22)</f>
        <v>4509</v>
      </c>
      <c r="D23" s="10">
        <f>((((D18)+(D19))+(D20))+(D21))+(D22)</f>
        <v>7084</v>
      </c>
      <c r="E23" s="10">
        <f>((((E18)+(E19))+(E20))+(E21))+(E22)</f>
        <v>6822.99</v>
      </c>
      <c r="F23" s="10">
        <f>((((F18)+(F19))+(F20))+(F21))+(F22)</f>
        <v>6530.98</v>
      </c>
      <c r="G23" s="10">
        <f>((((G18)+(G19))+(G20))+(G21))+(G22)</f>
        <v>3359.01</v>
      </c>
      <c r="H23" s="10">
        <f>((((H18)+(H19))+(H20))+(H21))+(H22)</f>
        <v>3674.99</v>
      </c>
      <c r="I23" s="10">
        <f>((((I18)+(I19))+(I20))+(I21))+(I22)</f>
        <v>3365.73</v>
      </c>
      <c r="J23" s="10">
        <f>((((J18)+(J19))+(J20))+(J21))+(J22)</f>
        <v>22213.3</v>
      </c>
      <c r="K23" s="10">
        <f>((((K18)+(K19))+(K20))+(K21))+(K22)</f>
        <v>4523.33</v>
      </c>
      <c r="L23" s="10">
        <f>(((((((((B23)+(C23))+(D23))+(E23))+(F23))+(G23))+(H23))+(I23))+(J23))+(K23)</f>
        <v>69353.33</v>
      </c>
    </row>
    <row r="24" spans="1:12" x14ac:dyDescent="0.3">
      <c r="A24" s="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3">
      <c r="A25" s="3" t="s">
        <v>99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3">
      <c r="A26" s="3" t="s">
        <v>98</v>
      </c>
      <c r="B26" s="8">
        <f>0.18</f>
        <v>0.18</v>
      </c>
      <c r="C26" s="8">
        <f>0.19</f>
        <v>0.19</v>
      </c>
      <c r="D26" s="8">
        <f>0.18</f>
        <v>0.18</v>
      </c>
      <c r="E26" s="8">
        <f>0.19</f>
        <v>0.19</v>
      </c>
      <c r="F26" s="8">
        <f>0.19</f>
        <v>0.19</v>
      </c>
      <c r="G26" s="8">
        <f>0.17</f>
        <v>0.17</v>
      </c>
      <c r="H26" s="8">
        <f>0.19</f>
        <v>0.19</v>
      </c>
      <c r="I26" s="8">
        <f>0.18</f>
        <v>0.18</v>
      </c>
      <c r="J26" s="8">
        <f>0.19</f>
        <v>0.19</v>
      </c>
      <c r="K26" s="8">
        <f>0.18</f>
        <v>0.18</v>
      </c>
      <c r="L26" s="8">
        <f>(((((((((B26)+(C26))+(D26))+(E26))+(F26))+(G26))+(H26))+(I26))+(J26))+(K26)</f>
        <v>1.8399999999999996</v>
      </c>
    </row>
    <row r="27" spans="1:12" x14ac:dyDescent="0.3">
      <c r="A27" s="3" t="s">
        <v>97</v>
      </c>
      <c r="B27" s="8"/>
      <c r="C27" s="8"/>
      <c r="D27" s="8"/>
      <c r="E27" s="8"/>
      <c r="F27" s="8">
        <f>20</f>
        <v>20</v>
      </c>
      <c r="G27" s="8"/>
      <c r="H27" s="8"/>
      <c r="I27" s="8">
        <f>208.4</f>
        <v>208.4</v>
      </c>
      <c r="J27" s="8">
        <f>1080</f>
        <v>1080</v>
      </c>
      <c r="K27" s="8"/>
      <c r="L27" s="8">
        <f>(((((((((B27)+(C27))+(D27))+(E27))+(F27))+(G27))+(H27))+(I27))+(J27))+(K27)</f>
        <v>1308.4000000000001</v>
      </c>
    </row>
    <row r="28" spans="1:12" x14ac:dyDescent="0.3">
      <c r="A28" s="3" t="s">
        <v>96</v>
      </c>
      <c r="B28" s="10">
        <f>((B25)+(B26))+(B27)</f>
        <v>0.18</v>
      </c>
      <c r="C28" s="10">
        <f>((C25)+(C26))+(C27)</f>
        <v>0.19</v>
      </c>
      <c r="D28" s="10">
        <f>((D25)+(D26))+(D27)</f>
        <v>0.18</v>
      </c>
      <c r="E28" s="10">
        <f>((E25)+(E26))+(E27)</f>
        <v>0.19</v>
      </c>
      <c r="F28" s="10">
        <f>((F25)+(F26))+(F27)</f>
        <v>20.190000000000001</v>
      </c>
      <c r="G28" s="10">
        <f>((G25)+(G26))+(G27)</f>
        <v>0.17</v>
      </c>
      <c r="H28" s="10">
        <f>((H25)+(H26))+(H27)</f>
        <v>0.19</v>
      </c>
      <c r="I28" s="10">
        <f>((I25)+(I26))+(I27)</f>
        <v>208.58</v>
      </c>
      <c r="J28" s="10">
        <f>((J25)+(J26))+(J27)</f>
        <v>1080.19</v>
      </c>
      <c r="K28" s="10">
        <f>((K25)+(K26))+(K27)</f>
        <v>0.18</v>
      </c>
      <c r="L28" s="10">
        <f>(((((((((B28)+(C28))+(D28))+(E28))+(F28))+(G28))+(H28))+(I28))+(J28))+(K28)</f>
        <v>1310.24</v>
      </c>
    </row>
    <row r="29" spans="1:12" x14ac:dyDescent="0.3">
      <c r="A29" s="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3">
      <c r="A30" s="3" t="s">
        <v>95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3">
      <c r="A31" s="3" t="s">
        <v>94</v>
      </c>
      <c r="B31" s="8"/>
      <c r="C31" s="8">
        <f>495</f>
        <v>495</v>
      </c>
      <c r="D31" s="8"/>
      <c r="E31" s="8"/>
      <c r="F31" s="8">
        <f>192</f>
        <v>192</v>
      </c>
      <c r="G31" s="8">
        <f>15</f>
        <v>15</v>
      </c>
      <c r="H31" s="8"/>
      <c r="I31" s="8"/>
      <c r="J31" s="8"/>
      <c r="K31" s="8"/>
      <c r="L31" s="8">
        <f>(((((((((B31)+(C31))+(D31))+(E31))+(F31))+(G31))+(H31))+(I31))+(J31))+(K31)</f>
        <v>702</v>
      </c>
    </row>
    <row r="32" spans="1:12" x14ac:dyDescent="0.3">
      <c r="A32" s="3" t="s">
        <v>93</v>
      </c>
      <c r="B32" s="8"/>
      <c r="C32" s="8"/>
      <c r="D32" s="8"/>
      <c r="E32" s="8">
        <f>705</f>
        <v>705</v>
      </c>
      <c r="F32" s="8"/>
      <c r="G32" s="8"/>
      <c r="H32" s="8"/>
      <c r="I32" s="8"/>
      <c r="J32" s="8"/>
      <c r="K32" s="8"/>
      <c r="L32" s="8">
        <f>(((((((((B32)+(C32))+(D32))+(E32))+(F32))+(G32))+(H32))+(I32))+(J32))+(K32)</f>
        <v>705</v>
      </c>
    </row>
    <row r="33" spans="1:12" x14ac:dyDescent="0.3">
      <c r="A33" s="3" t="s">
        <v>92</v>
      </c>
      <c r="B33" s="8"/>
      <c r="C33" s="8"/>
      <c r="D33" s="8"/>
      <c r="E33" s="8">
        <f>-705</f>
        <v>-705</v>
      </c>
      <c r="F33" s="8"/>
      <c r="G33" s="8"/>
      <c r="H33" s="8"/>
      <c r="I33" s="8"/>
      <c r="J33" s="8"/>
      <c r="K33" s="8"/>
      <c r="L33" s="8">
        <f>(((((((((B33)+(C33))+(D33))+(E33))+(F33))+(G33))+(H33))+(I33))+(J33))+(K33)</f>
        <v>-705</v>
      </c>
    </row>
    <row r="34" spans="1:12" x14ac:dyDescent="0.3">
      <c r="A34" s="3" t="s">
        <v>91</v>
      </c>
      <c r="B34" s="8"/>
      <c r="C34" s="8"/>
      <c r="D34" s="8"/>
      <c r="E34" s="8">
        <f>240</f>
        <v>240</v>
      </c>
      <c r="F34" s="8"/>
      <c r="G34" s="8"/>
      <c r="H34" s="8"/>
      <c r="I34" s="8"/>
      <c r="J34" s="8"/>
      <c r="K34" s="8"/>
      <c r="L34" s="8">
        <f>(((((((((B34)+(C34))+(D34))+(E34))+(F34))+(G34))+(H34))+(I34))+(J34))+(K34)</f>
        <v>240</v>
      </c>
    </row>
    <row r="35" spans="1:12" x14ac:dyDescent="0.3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3">
      <c r="A36" s="3" t="s">
        <v>90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3">
      <c r="A37" s="3" t="s">
        <v>89</v>
      </c>
      <c r="B37" s="8"/>
      <c r="C37" s="8">
        <f>-18</f>
        <v>-18</v>
      </c>
      <c r="D37" s="8"/>
      <c r="E37" s="8"/>
      <c r="F37" s="8"/>
      <c r="G37" s="8"/>
      <c r="H37" s="8"/>
      <c r="I37" s="8"/>
      <c r="J37" s="8"/>
      <c r="K37" s="8"/>
      <c r="L37" s="8">
        <f>(((((((((B37)+(C37))+(D37))+(E37))+(F37))+(G37))+(H37))+(I37))+(J37))+(K37)</f>
        <v>-18</v>
      </c>
    </row>
    <row r="38" spans="1:12" x14ac:dyDescent="0.3">
      <c r="A38" s="3" t="s">
        <v>88</v>
      </c>
      <c r="B38" s="10">
        <f>(B36)+(B37)</f>
        <v>0</v>
      </c>
      <c r="C38" s="10">
        <f>(C36)+(C37)</f>
        <v>-18</v>
      </c>
      <c r="D38" s="10">
        <f>(D36)+(D37)</f>
        <v>0</v>
      </c>
      <c r="E38" s="10">
        <f>(E36)+(E37)</f>
        <v>0</v>
      </c>
      <c r="F38" s="10">
        <f>(F36)+(F37)</f>
        <v>0</v>
      </c>
      <c r="G38" s="10">
        <f>(G36)+(G37)</f>
        <v>0</v>
      </c>
      <c r="H38" s="10">
        <f>(H36)+(H37)</f>
        <v>0</v>
      </c>
      <c r="I38" s="10">
        <f>(I36)+(I37)</f>
        <v>0</v>
      </c>
      <c r="J38" s="10">
        <f>(J36)+(J37)</f>
        <v>0</v>
      </c>
      <c r="K38" s="10">
        <f>(K36)+(K37)</f>
        <v>0</v>
      </c>
      <c r="L38" s="10">
        <f>(((((((((B38)+(C38))+(D38))+(E38))+(F38))+(G38))+(H38))+(I38))+(J38))+(K38)</f>
        <v>-18</v>
      </c>
    </row>
    <row r="39" spans="1:12" x14ac:dyDescent="0.3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x14ac:dyDescent="0.3">
      <c r="A40" s="3" t="s">
        <v>87</v>
      </c>
      <c r="B40" s="10">
        <f>(((((B30)+(B31))+(B32))+(B33))+(B34))+(B38)</f>
        <v>0</v>
      </c>
      <c r="C40" s="10">
        <f>(((((C30)+(C31))+(C32))+(C33))+(C34))+(C38)</f>
        <v>477</v>
      </c>
      <c r="D40" s="10">
        <f>(((((D30)+(D31))+(D32))+(D33))+(D34))+(D38)</f>
        <v>0</v>
      </c>
      <c r="E40" s="10">
        <f>(((((E30)+(E31))+(E32))+(E33))+(E34))+(E38)</f>
        <v>240</v>
      </c>
      <c r="F40" s="10">
        <f>(((((F30)+(F31))+(F32))+(F33))+(F34))+(F38)</f>
        <v>192</v>
      </c>
      <c r="G40" s="10">
        <f>(((((G30)+(G31))+(G32))+(G33))+(G34))+(G38)</f>
        <v>15</v>
      </c>
      <c r="H40" s="10">
        <f>(((((H30)+(H31))+(H32))+(H33))+(H34))+(H38)</f>
        <v>0</v>
      </c>
      <c r="I40" s="10">
        <f>(((((I30)+(I31))+(I32))+(I33))+(I34))+(I38)</f>
        <v>0</v>
      </c>
      <c r="J40" s="10">
        <f>(((((J30)+(J31))+(J32))+(J33))+(J34))+(J38)</f>
        <v>0</v>
      </c>
      <c r="K40" s="10">
        <f>(((((K30)+(K31))+(K32))+(K33))+(K34))+(K38)</f>
        <v>0</v>
      </c>
      <c r="L40" s="10">
        <f>(((((((((B40)+(C40))+(D40))+(E40))+(F40))+(G40))+(H40))+(I40))+(J40))+(K40)</f>
        <v>924</v>
      </c>
    </row>
    <row r="41" spans="1:12" x14ac:dyDescent="0.3">
      <c r="A41" s="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idden="1" x14ac:dyDescent="0.3">
      <c r="A42" s="3" t="s">
        <v>86</v>
      </c>
      <c r="B42" s="10">
        <f>((((B12)+(B16))+(B23))+(B28))+(B40)</f>
        <v>8858.64</v>
      </c>
      <c r="C42" s="10">
        <f>((((C12)+(C16))+(C23))+(C28))+(C40)</f>
        <v>8252.1899999999987</v>
      </c>
      <c r="D42" s="10">
        <f>((((D12)+(D16))+(D23))+(D28))+(D40)</f>
        <v>16726.03</v>
      </c>
      <c r="E42" s="10">
        <f>((((E12)+(E16))+(E23))+(E28))+(E40)</f>
        <v>15992.19</v>
      </c>
      <c r="F42" s="10">
        <f>((((F12)+(F16))+(F23))+(F28))+(F40)</f>
        <v>8985.17</v>
      </c>
      <c r="G42" s="10">
        <f>((((G12)+(G16))+(G23))+(G28))+(G40)</f>
        <v>5439.18</v>
      </c>
      <c r="H42" s="10">
        <f>((((H12)+(H16))+(H23))+(H28))+(H40)</f>
        <v>10453.16</v>
      </c>
      <c r="I42" s="10">
        <f>((((I12)+(I16))+(I23))+(I28))+(I40)</f>
        <v>18228.530000000002</v>
      </c>
      <c r="J42" s="10">
        <f>((((J12)+(J16))+(J23))+(J28))+(J40)</f>
        <v>28740.19</v>
      </c>
      <c r="K42" s="10">
        <f>((((K12)+(K16))+(K23))+(K28))+(K40)</f>
        <v>7164.5</v>
      </c>
      <c r="L42" s="10">
        <f>(((((((((B42)+(C42))+(D42))+(E42))+(F42))+(G42))+(H42))+(I42))+(J42))+(K42)</f>
        <v>128839.78</v>
      </c>
    </row>
    <row r="43" spans="1:12" hidden="1" x14ac:dyDescent="0.3">
      <c r="A43" s="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x14ac:dyDescent="0.3">
      <c r="A44" s="3" t="s">
        <v>85</v>
      </c>
      <c r="B44" s="10">
        <f>(B42)-(0)</f>
        <v>8858.64</v>
      </c>
      <c r="C44" s="10">
        <f>(C42)-(0)</f>
        <v>8252.1899999999987</v>
      </c>
      <c r="D44" s="10">
        <f>(D42)-(0)</f>
        <v>16726.03</v>
      </c>
      <c r="E44" s="10">
        <f>(E42)-(0)</f>
        <v>15992.19</v>
      </c>
      <c r="F44" s="10">
        <f>(F42)-(0)</f>
        <v>8985.17</v>
      </c>
      <c r="G44" s="10">
        <f>(G42)-(0)</f>
        <v>5439.18</v>
      </c>
      <c r="H44" s="10">
        <f>(H42)-(0)</f>
        <v>10453.16</v>
      </c>
      <c r="I44" s="10">
        <f>(I42)-(0)</f>
        <v>18228.530000000002</v>
      </c>
      <c r="J44" s="10">
        <f>(J42)-(0)</f>
        <v>28740.19</v>
      </c>
      <c r="K44" s="10">
        <f>(K42)-(0)</f>
        <v>7164.5</v>
      </c>
      <c r="L44" s="10">
        <f>(((((((((B44)+(C44))+(D44))+(E44))+(F44))+(G44))+(H44))+(I44))+(J44))+(K44)</f>
        <v>128839.78</v>
      </c>
    </row>
    <row r="45" spans="1:12" x14ac:dyDescent="0.3">
      <c r="A45" s="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x14ac:dyDescent="0.3">
      <c r="A46" s="3" t="s">
        <v>84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3">
      <c r="A47" s="3" t="s">
        <v>83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3">
      <c r="A48" s="3" t="s">
        <v>82</v>
      </c>
      <c r="B48" s="8">
        <f>2500</f>
        <v>2500</v>
      </c>
      <c r="C48" s="8">
        <f>3800</f>
        <v>3800</v>
      </c>
      <c r="D48" s="8">
        <f>3800</f>
        <v>3800</v>
      </c>
      <c r="E48" s="8">
        <f>3800</f>
        <v>3800</v>
      </c>
      <c r="F48" s="8">
        <f>3800</f>
        <v>3800</v>
      </c>
      <c r="G48" s="8">
        <f>3800</f>
        <v>3800</v>
      </c>
      <c r="H48" s="8">
        <f>3800</f>
        <v>3800</v>
      </c>
      <c r="I48" s="8">
        <f>3800</f>
        <v>3800</v>
      </c>
      <c r="J48" s="8">
        <f>3800</f>
        <v>3800</v>
      </c>
      <c r="K48" s="8">
        <f>3800</f>
        <v>3800</v>
      </c>
      <c r="L48" s="8">
        <f>(((((((((B48)+(C48))+(D48))+(E48))+(F48))+(G48))+(H48))+(I48))+(J48))+(K48)</f>
        <v>36700</v>
      </c>
    </row>
    <row r="49" spans="1:12" x14ac:dyDescent="0.3">
      <c r="A49" s="3" t="s">
        <v>81</v>
      </c>
      <c r="B49" s="8">
        <f>191.25</f>
        <v>191.25</v>
      </c>
      <c r="C49" s="8">
        <f>290.7</f>
        <v>290.7</v>
      </c>
      <c r="D49" s="8">
        <f>290.7</f>
        <v>290.7</v>
      </c>
      <c r="E49" s="8">
        <f>290.7</f>
        <v>290.7</v>
      </c>
      <c r="F49" s="8">
        <f>290.7</f>
        <v>290.7</v>
      </c>
      <c r="G49" s="8">
        <f>290.7</f>
        <v>290.7</v>
      </c>
      <c r="H49" s="8">
        <f>290.7</f>
        <v>290.7</v>
      </c>
      <c r="I49" s="8">
        <f>290.7</f>
        <v>290.7</v>
      </c>
      <c r="J49" s="8">
        <f>290.7</f>
        <v>290.7</v>
      </c>
      <c r="K49" s="8">
        <f>290.7</f>
        <v>290.7</v>
      </c>
      <c r="L49" s="8">
        <f>(((((((((B49)+(C49))+(D49))+(E49))+(F49))+(G49))+(H49))+(I49))+(J49))+(K49)</f>
        <v>2807.5499999999997</v>
      </c>
    </row>
    <row r="50" spans="1:12" x14ac:dyDescent="0.3">
      <c r="A50" s="3" t="s">
        <v>80</v>
      </c>
      <c r="B50" s="8">
        <f>50.04</f>
        <v>50.04</v>
      </c>
      <c r="C50" s="8">
        <f>44.78</f>
        <v>44.78</v>
      </c>
      <c r="D50" s="8">
        <f>60.58</f>
        <v>60.58</v>
      </c>
      <c r="E50" s="8">
        <f>55.32</f>
        <v>55.32</v>
      </c>
      <c r="F50" s="8">
        <f>60.58</f>
        <v>60.58</v>
      </c>
      <c r="G50" s="8">
        <f>81.66</f>
        <v>81.66</v>
      </c>
      <c r="H50" s="8">
        <f>60.58</f>
        <v>60.58</v>
      </c>
      <c r="I50" s="8">
        <f>76.38</f>
        <v>76.38</v>
      </c>
      <c r="J50" s="8">
        <f>81.66</f>
        <v>81.66</v>
      </c>
      <c r="K50" s="8">
        <f>97.46</f>
        <v>97.46</v>
      </c>
      <c r="L50" s="8">
        <f>(((((((((B50)+(C50))+(D50))+(E50))+(F50))+(G50))+(H50))+(I50))+(J50))+(K50)</f>
        <v>669.04</v>
      </c>
    </row>
    <row r="51" spans="1:12" x14ac:dyDescent="0.3">
      <c r="A51" s="3" t="s">
        <v>79</v>
      </c>
      <c r="B51" s="10">
        <f>(((B47)+(B48))+(B49))+(B50)</f>
        <v>2741.29</v>
      </c>
      <c r="C51" s="10">
        <f>(((C47)+(C48))+(C49))+(C50)</f>
        <v>4135.4799999999996</v>
      </c>
      <c r="D51" s="10">
        <f>(((D47)+(D48))+(D49))+(D50)</f>
        <v>4151.28</v>
      </c>
      <c r="E51" s="10">
        <f>(((E47)+(E48))+(E49))+(E50)</f>
        <v>4146.0199999999995</v>
      </c>
      <c r="F51" s="10">
        <f>(((F47)+(F48))+(F49))+(F50)</f>
        <v>4151.28</v>
      </c>
      <c r="G51" s="10">
        <f>(((G47)+(G48))+(G49))+(G50)</f>
        <v>4172.3599999999997</v>
      </c>
      <c r="H51" s="10">
        <f>(((H47)+(H48))+(H49))+(H50)</f>
        <v>4151.28</v>
      </c>
      <c r="I51" s="10">
        <f>(((I47)+(I48))+(I49))+(I50)</f>
        <v>4167.08</v>
      </c>
      <c r="J51" s="10">
        <f>(((J47)+(J48))+(J49))+(J50)</f>
        <v>4172.3599999999997</v>
      </c>
      <c r="K51" s="10">
        <f>(((K47)+(K48))+(K49))+(K50)</f>
        <v>4188.16</v>
      </c>
      <c r="L51" s="10">
        <f>(((((((((B51)+(C51))+(D51))+(E51))+(F51))+(G51))+(H51))+(I51))+(J51))+(K51)</f>
        <v>40176.589999999997</v>
      </c>
    </row>
    <row r="52" spans="1:12" x14ac:dyDescent="0.3">
      <c r="A52" s="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3">
      <c r="A53" s="3" t="s">
        <v>78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3">
      <c r="A54" s="3" t="s">
        <v>77</v>
      </c>
      <c r="B54" s="8">
        <f>390</f>
        <v>390</v>
      </c>
      <c r="C54" s="8">
        <f>390</f>
        <v>390</v>
      </c>
      <c r="D54" s="8">
        <f>390</f>
        <v>390</v>
      </c>
      <c r="E54" s="8">
        <f>390</f>
        <v>390</v>
      </c>
      <c r="F54" s="8">
        <f>890</f>
        <v>890</v>
      </c>
      <c r="G54" s="8">
        <f>390</f>
        <v>390</v>
      </c>
      <c r="H54" s="8">
        <f>390</f>
        <v>390</v>
      </c>
      <c r="I54" s="8">
        <f>404.43</f>
        <v>404.43</v>
      </c>
      <c r="J54" s="8">
        <f>404.43</f>
        <v>404.43</v>
      </c>
      <c r="K54" s="8">
        <f>404.43</f>
        <v>404.43</v>
      </c>
      <c r="L54" s="8">
        <f>(((((((((B54)+(C54))+(D54))+(E54))+(F54))+(G54))+(H54))+(I54))+(J54))+(K54)</f>
        <v>4443.29</v>
      </c>
    </row>
    <row r="55" spans="1:12" x14ac:dyDescent="0.3">
      <c r="A55" s="3" t="s">
        <v>76</v>
      </c>
      <c r="B55" s="8"/>
      <c r="C55" s="8">
        <f>580</f>
        <v>580</v>
      </c>
      <c r="D55" s="8"/>
      <c r="E55" s="8"/>
      <c r="F55" s="8"/>
      <c r="G55" s="8"/>
      <c r="H55" s="8">
        <f>880</f>
        <v>880</v>
      </c>
      <c r="I55" s="8">
        <f>1160</f>
        <v>1160</v>
      </c>
      <c r="J55" s="8">
        <f>1080</f>
        <v>1080</v>
      </c>
      <c r="K55" s="8"/>
      <c r="L55" s="8">
        <f>(((((((((B55)+(C55))+(D55))+(E55))+(F55))+(G55))+(H55))+(I55))+(J55))+(K55)</f>
        <v>3700</v>
      </c>
    </row>
    <row r="56" spans="1:12" x14ac:dyDescent="0.3">
      <c r="A56" s="3" t="s">
        <v>75</v>
      </c>
      <c r="B56" s="8"/>
      <c r="C56" s="8">
        <f>3900.5</f>
        <v>3900.5</v>
      </c>
      <c r="D56" s="8">
        <f>1770</f>
        <v>1770</v>
      </c>
      <c r="E56" s="8">
        <f>2460</f>
        <v>2460</v>
      </c>
      <c r="F56" s="8">
        <f>1267.5</f>
        <v>1267.5</v>
      </c>
      <c r="G56" s="8">
        <f>1677.5</f>
        <v>1677.5</v>
      </c>
      <c r="H56" s="8">
        <f>2540</f>
        <v>2540</v>
      </c>
      <c r="I56" s="8">
        <f>2885</f>
        <v>2885</v>
      </c>
      <c r="J56" s="8">
        <f>7427.5</f>
        <v>7427.5</v>
      </c>
      <c r="K56" s="8">
        <f>247.5</f>
        <v>247.5</v>
      </c>
      <c r="L56" s="8">
        <f>(((((((((B56)+(C56))+(D56))+(E56))+(F56))+(G56))+(H56))+(I56))+(J56))+(K56)</f>
        <v>24175.5</v>
      </c>
    </row>
    <row r="57" spans="1:12" x14ac:dyDescent="0.3">
      <c r="A57" s="3" t="s">
        <v>74</v>
      </c>
      <c r="B57" s="10">
        <f>(((B53)+(B54))+(B55))+(B56)</f>
        <v>390</v>
      </c>
      <c r="C57" s="10">
        <f>(((C53)+(C54))+(C55))+(C56)</f>
        <v>4870.5</v>
      </c>
      <c r="D57" s="10">
        <f>(((D53)+(D54))+(D55))+(D56)</f>
        <v>2160</v>
      </c>
      <c r="E57" s="10">
        <f>(((E53)+(E54))+(E55))+(E56)</f>
        <v>2850</v>
      </c>
      <c r="F57" s="10">
        <f>(((F53)+(F54))+(F55))+(F56)</f>
        <v>2157.5</v>
      </c>
      <c r="G57" s="10">
        <f>(((G53)+(G54))+(G55))+(G56)</f>
        <v>2067.5</v>
      </c>
      <c r="H57" s="10">
        <f>(((H53)+(H54))+(H55))+(H56)</f>
        <v>3810</v>
      </c>
      <c r="I57" s="10">
        <f>(((I53)+(I54))+(I55))+(I56)</f>
        <v>4449.43</v>
      </c>
      <c r="J57" s="10">
        <f>(((J53)+(J54))+(J55))+(J56)</f>
        <v>8911.93</v>
      </c>
      <c r="K57" s="10">
        <f>(((K53)+(K54))+(K55))+(K56)</f>
        <v>651.93000000000006</v>
      </c>
      <c r="L57" s="10">
        <f>(((((((((B57)+(C57))+(D57))+(E57))+(F57))+(G57))+(H57))+(I57))+(J57))+(K57)</f>
        <v>32318.79</v>
      </c>
    </row>
    <row r="58" spans="1:12" x14ac:dyDescent="0.3">
      <c r="A58" s="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x14ac:dyDescent="0.3">
      <c r="A59" s="3" t="s">
        <v>73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3">
      <c r="A60" s="3" t="s">
        <v>72</v>
      </c>
      <c r="B60" s="8">
        <f>338.67</f>
        <v>338.67</v>
      </c>
      <c r="C60" s="8">
        <f>127.7</f>
        <v>127.7</v>
      </c>
      <c r="D60" s="8">
        <f>42.5</f>
        <v>42.5</v>
      </c>
      <c r="E60" s="8">
        <f>99.68</f>
        <v>99.68</v>
      </c>
      <c r="F60" s="8">
        <f>288.28</f>
        <v>288.27999999999997</v>
      </c>
      <c r="G60" s="8">
        <f>50.51</f>
        <v>50.51</v>
      </c>
      <c r="H60" s="8">
        <f>3.41</f>
        <v>3.41</v>
      </c>
      <c r="I60" s="8">
        <f>415.86</f>
        <v>415.86</v>
      </c>
      <c r="J60" s="8">
        <f>75.86</f>
        <v>75.86</v>
      </c>
      <c r="K60" s="8">
        <f>286.22</f>
        <v>286.22000000000003</v>
      </c>
      <c r="L60" s="8">
        <f>(((((((((B60)+(C60))+(D60))+(E60))+(F60))+(G60))+(H60))+(I60))+(J60))+(K60)</f>
        <v>1728.6899999999998</v>
      </c>
    </row>
    <row r="61" spans="1:12" x14ac:dyDescent="0.3">
      <c r="A61" s="3" t="s">
        <v>71</v>
      </c>
      <c r="B61" s="8">
        <f>8</f>
        <v>8</v>
      </c>
      <c r="C61" s="8"/>
      <c r="D61" s="8"/>
      <c r="E61" s="8">
        <f>8.4</f>
        <v>8.4</v>
      </c>
      <c r="F61" s="8">
        <f>2.4</f>
        <v>2.4</v>
      </c>
      <c r="G61" s="8"/>
      <c r="H61" s="8">
        <f>0.78</f>
        <v>0.78</v>
      </c>
      <c r="I61" s="8"/>
      <c r="J61" s="8">
        <f>216.59</f>
        <v>216.59</v>
      </c>
      <c r="K61" s="8">
        <f>2.72</f>
        <v>2.72</v>
      </c>
      <c r="L61" s="8">
        <f>(((((((((B61)+(C61))+(D61))+(E61))+(F61))+(G61))+(H61))+(I61))+(J61))+(K61)</f>
        <v>238.89000000000001</v>
      </c>
    </row>
    <row r="62" spans="1:12" x14ac:dyDescent="0.3">
      <c r="A62" s="3" t="s">
        <v>70</v>
      </c>
      <c r="B62" s="8"/>
      <c r="C62" s="8"/>
      <c r="D62" s="8"/>
      <c r="E62" s="8"/>
      <c r="F62" s="8"/>
      <c r="G62" s="8"/>
      <c r="H62" s="8"/>
      <c r="I62" s="8"/>
      <c r="J62" s="8">
        <f>109.15</f>
        <v>109.15</v>
      </c>
      <c r="K62" s="8"/>
      <c r="L62" s="8">
        <f>(((((((((B62)+(C62))+(D62))+(E62))+(F62))+(G62))+(H62))+(I62))+(J62))+(K62)</f>
        <v>109.15</v>
      </c>
    </row>
    <row r="63" spans="1:12" x14ac:dyDescent="0.3">
      <c r="A63" s="3" t="s">
        <v>69</v>
      </c>
      <c r="B63" s="8"/>
      <c r="C63" s="8"/>
      <c r="D63" s="8"/>
      <c r="E63" s="8">
        <f>390</f>
        <v>390</v>
      </c>
      <c r="F63" s="8"/>
      <c r="G63" s="8"/>
      <c r="H63" s="8"/>
      <c r="I63" s="8">
        <f>5385</f>
        <v>5385</v>
      </c>
      <c r="J63" s="8">
        <f>258.95</f>
        <v>258.95</v>
      </c>
      <c r="K63" s="8"/>
      <c r="L63" s="8">
        <f>(((((((((B63)+(C63))+(D63))+(E63))+(F63))+(G63))+(H63))+(I63))+(J63))+(K63)</f>
        <v>6033.95</v>
      </c>
    </row>
    <row r="64" spans="1:12" x14ac:dyDescent="0.3">
      <c r="A64" s="3" t="s">
        <v>68</v>
      </c>
      <c r="B64" s="8"/>
      <c r="C64" s="8">
        <f>137.41</f>
        <v>137.41</v>
      </c>
      <c r="D64" s="8">
        <f>342.1</f>
        <v>342.1</v>
      </c>
      <c r="E64" s="8">
        <f>111.86</f>
        <v>111.86</v>
      </c>
      <c r="F64" s="8"/>
      <c r="G64" s="8"/>
      <c r="H64" s="8"/>
      <c r="I64" s="8">
        <f>195.29</f>
        <v>195.29</v>
      </c>
      <c r="J64" s="8"/>
      <c r="K64" s="8"/>
      <c r="L64" s="8">
        <f>(((((((((B64)+(C64))+(D64))+(E64))+(F64))+(G64))+(H64))+(I64))+(J64))+(K64)</f>
        <v>786.66</v>
      </c>
    </row>
    <row r="65" spans="1:12" x14ac:dyDescent="0.3">
      <c r="A65" s="3" t="s">
        <v>67</v>
      </c>
      <c r="B65" s="8">
        <f>95.38</f>
        <v>95.38</v>
      </c>
      <c r="C65" s="8">
        <f>174.27</f>
        <v>174.27</v>
      </c>
      <c r="D65" s="8">
        <f>30.38</f>
        <v>30.38</v>
      </c>
      <c r="E65" s="8">
        <f>125.37</f>
        <v>125.37</v>
      </c>
      <c r="F65" s="8">
        <f>139.03</f>
        <v>139.03</v>
      </c>
      <c r="G65" s="8">
        <f>30.38</f>
        <v>30.38</v>
      </c>
      <c r="H65" s="8">
        <f>30.38</f>
        <v>30.38</v>
      </c>
      <c r="I65" s="8">
        <f>30.38</f>
        <v>30.38</v>
      </c>
      <c r="J65" s="8">
        <f>190.89</f>
        <v>190.89</v>
      </c>
      <c r="K65" s="8">
        <f>156.39</f>
        <v>156.38999999999999</v>
      </c>
      <c r="L65" s="8">
        <f>(((((((((B65)+(C65))+(D65))+(E65))+(F65))+(G65))+(H65))+(I65))+(J65))+(K65)</f>
        <v>1002.8499999999999</v>
      </c>
    </row>
    <row r="66" spans="1:12" x14ac:dyDescent="0.3">
      <c r="A66" s="3" t="s">
        <v>66</v>
      </c>
      <c r="B66" s="10">
        <f>((((((B59)+(B60))+(B61))+(B62))+(B63))+(B64))+(B65)</f>
        <v>442.05</v>
      </c>
      <c r="C66" s="10">
        <f>((((((C59)+(C60))+(C61))+(C62))+(C63))+(C64))+(C65)</f>
        <v>439.38</v>
      </c>
      <c r="D66" s="10">
        <f>((((((D59)+(D60))+(D61))+(D62))+(D63))+(D64))+(D65)</f>
        <v>414.98</v>
      </c>
      <c r="E66" s="10">
        <f>((((((E59)+(E60))+(E61))+(E62))+(E63))+(E64))+(E65)</f>
        <v>735.31000000000006</v>
      </c>
      <c r="F66" s="10">
        <f>((((((F59)+(F60))+(F61))+(F62))+(F63))+(F64))+(F65)</f>
        <v>429.70999999999992</v>
      </c>
      <c r="G66" s="10">
        <f>((((((G59)+(G60))+(G61))+(G62))+(G63))+(G64))+(G65)</f>
        <v>80.89</v>
      </c>
      <c r="H66" s="10">
        <f>((((((H59)+(H60))+(H61))+(H62))+(H63))+(H64))+(H65)</f>
        <v>34.57</v>
      </c>
      <c r="I66" s="10">
        <f>((((((I59)+(I60))+(I61))+(I62))+(I63))+(I64))+(I65)</f>
        <v>6026.53</v>
      </c>
      <c r="J66" s="10">
        <f>((((((J59)+(J60))+(J61))+(J62))+(J63))+(J64))+(J65)</f>
        <v>851.43999999999994</v>
      </c>
      <c r="K66" s="10">
        <f>((((((K59)+(K60))+(K61))+(K62))+(K63))+(K64))+(K65)</f>
        <v>445.33000000000004</v>
      </c>
      <c r="L66" s="10">
        <f>(((((((((B66)+(C66))+(D66))+(E66))+(F66))+(G66))+(H66))+(I66))+(J66))+(K66)</f>
        <v>9900.19</v>
      </c>
    </row>
    <row r="67" spans="1:12" x14ac:dyDescent="0.3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3">
      <c r="A68" s="3" t="s">
        <v>65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3">
      <c r="A69" s="3" t="s">
        <v>64</v>
      </c>
      <c r="B69" s="8">
        <f>1529</f>
        <v>1529</v>
      </c>
      <c r="C69" s="8">
        <f>2029</f>
        <v>2029</v>
      </c>
      <c r="D69" s="8">
        <f>1529</f>
        <v>1529</v>
      </c>
      <c r="E69" s="8">
        <f>1629</f>
        <v>1629</v>
      </c>
      <c r="F69" s="8">
        <f>1629</f>
        <v>1629</v>
      </c>
      <c r="G69" s="8"/>
      <c r="H69" s="8">
        <f>3258</f>
        <v>3258</v>
      </c>
      <c r="I69" s="8">
        <f>1629</f>
        <v>1629</v>
      </c>
      <c r="J69" s="8">
        <f>2152</f>
        <v>2152</v>
      </c>
      <c r="K69" s="8">
        <f>1652</f>
        <v>1652</v>
      </c>
      <c r="L69" s="8">
        <f>(((((((((B69)+(C69))+(D69))+(E69))+(F69))+(G69))+(H69))+(I69))+(J69))+(K69)</f>
        <v>17036</v>
      </c>
    </row>
    <row r="70" spans="1:12" x14ac:dyDescent="0.3">
      <c r="A70" s="3" t="s">
        <v>63</v>
      </c>
      <c r="B70" s="10">
        <f>(B68)+(B69)</f>
        <v>1529</v>
      </c>
      <c r="C70" s="10">
        <f>(C68)+(C69)</f>
        <v>2029</v>
      </c>
      <c r="D70" s="10">
        <f>(D68)+(D69)</f>
        <v>1529</v>
      </c>
      <c r="E70" s="10">
        <f>(E68)+(E69)</f>
        <v>1629</v>
      </c>
      <c r="F70" s="10">
        <f>(F68)+(F69)</f>
        <v>1629</v>
      </c>
      <c r="G70" s="10">
        <f>(G68)+(G69)</f>
        <v>0</v>
      </c>
      <c r="H70" s="10">
        <f>(H68)+(H69)</f>
        <v>3258</v>
      </c>
      <c r="I70" s="10">
        <f>(I68)+(I69)</f>
        <v>1629</v>
      </c>
      <c r="J70" s="10">
        <f>(J68)+(J69)</f>
        <v>2152</v>
      </c>
      <c r="K70" s="10">
        <f>(K68)+(K69)</f>
        <v>1652</v>
      </c>
      <c r="L70" s="10">
        <f>(((((((((B70)+(C70))+(D70))+(E70))+(F70))+(G70))+(H70))+(I70))+(J70))+(K70)</f>
        <v>17036</v>
      </c>
    </row>
    <row r="71" spans="1:12" x14ac:dyDescent="0.3">
      <c r="A71" s="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x14ac:dyDescent="0.3">
      <c r="A72" s="3" t="s">
        <v>62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3">
      <c r="A73" s="3" t="s">
        <v>61</v>
      </c>
      <c r="B73" s="8"/>
      <c r="C73" s="8"/>
      <c r="D73" s="8"/>
      <c r="E73" s="8"/>
      <c r="F73" s="8"/>
      <c r="G73" s="8"/>
      <c r="H73" s="8"/>
      <c r="I73" s="8">
        <f>61.67</f>
        <v>61.67</v>
      </c>
      <c r="J73" s="8">
        <f>331.08</f>
        <v>331.08</v>
      </c>
      <c r="K73" s="8">
        <f>379.8</f>
        <v>379.8</v>
      </c>
      <c r="L73" s="8">
        <f>(((((((((B73)+(C73))+(D73))+(E73))+(F73))+(G73))+(H73))+(I73))+(J73))+(K73)</f>
        <v>772.55</v>
      </c>
    </row>
    <row r="74" spans="1:12" x14ac:dyDescent="0.3">
      <c r="A74" s="3" t="s">
        <v>60</v>
      </c>
      <c r="B74" s="8">
        <f>19.67</f>
        <v>19.670000000000002</v>
      </c>
      <c r="C74" s="8">
        <f>21.84</f>
        <v>21.84</v>
      </c>
      <c r="D74" s="8">
        <f>148.17</f>
        <v>148.16999999999999</v>
      </c>
      <c r="E74" s="8">
        <f>235.21</f>
        <v>235.21</v>
      </c>
      <c r="F74" s="8">
        <f>66.91</f>
        <v>66.91</v>
      </c>
      <c r="G74" s="8">
        <f>64.69</f>
        <v>64.69</v>
      </c>
      <c r="H74" s="8">
        <f>34.44</f>
        <v>34.44</v>
      </c>
      <c r="I74" s="8">
        <f>188.13</f>
        <v>188.13</v>
      </c>
      <c r="J74" s="8">
        <f>883.06</f>
        <v>883.06</v>
      </c>
      <c r="K74" s="8">
        <f>221.09</f>
        <v>221.09</v>
      </c>
      <c r="L74" s="8">
        <f>(((((((((B74)+(C74))+(D74))+(E74))+(F74))+(G74))+(H74))+(I74))+(J74))+(K74)</f>
        <v>1883.2099999999998</v>
      </c>
    </row>
    <row r="75" spans="1:12" x14ac:dyDescent="0.3">
      <c r="A75" s="3" t="s">
        <v>59</v>
      </c>
      <c r="B75" s="8"/>
      <c r="C75" s="8"/>
      <c r="D75" s="8"/>
      <c r="E75" s="8"/>
      <c r="F75" s="8"/>
      <c r="G75" s="8"/>
      <c r="H75" s="8"/>
      <c r="I75" s="8">
        <f>520.43</f>
        <v>520.42999999999995</v>
      </c>
      <c r="J75" s="8"/>
      <c r="K75" s="8"/>
      <c r="L75" s="8">
        <f>(((((((((B75)+(C75))+(D75))+(E75))+(F75))+(G75))+(H75))+(I75))+(J75))+(K75)</f>
        <v>520.42999999999995</v>
      </c>
    </row>
    <row r="76" spans="1:12" x14ac:dyDescent="0.3">
      <c r="A76" s="3" t="s">
        <v>58</v>
      </c>
      <c r="B76" s="8"/>
      <c r="C76" s="8"/>
      <c r="D76" s="8"/>
      <c r="E76" s="8"/>
      <c r="F76" s="8"/>
      <c r="G76" s="8"/>
      <c r="H76" s="8"/>
      <c r="I76" s="8">
        <f>581.4</f>
        <v>581.4</v>
      </c>
      <c r="J76" s="8"/>
      <c r="K76" s="8"/>
      <c r="L76" s="8">
        <f>(((((((((B76)+(C76))+(D76))+(E76))+(F76))+(G76))+(H76))+(I76))+(J76))+(K76)</f>
        <v>581.4</v>
      </c>
    </row>
    <row r="77" spans="1:12" x14ac:dyDescent="0.3">
      <c r="A77" s="3" t="s">
        <v>57</v>
      </c>
      <c r="B77" s="10">
        <f>((((B72)+(B73))+(B74))+(B75))+(B76)</f>
        <v>19.670000000000002</v>
      </c>
      <c r="C77" s="10">
        <f>((((C72)+(C73))+(C74))+(C75))+(C76)</f>
        <v>21.84</v>
      </c>
      <c r="D77" s="10">
        <f>((((D72)+(D73))+(D74))+(D75))+(D76)</f>
        <v>148.16999999999999</v>
      </c>
      <c r="E77" s="10">
        <f>((((E72)+(E73))+(E74))+(E75))+(E76)</f>
        <v>235.21</v>
      </c>
      <c r="F77" s="10">
        <f>((((F72)+(F73))+(F74))+(F75))+(F76)</f>
        <v>66.91</v>
      </c>
      <c r="G77" s="10">
        <f>((((G72)+(G73))+(G74))+(G75))+(G76)</f>
        <v>64.69</v>
      </c>
      <c r="H77" s="10">
        <f>((((H72)+(H73))+(H74))+(H75))+(H76)</f>
        <v>34.44</v>
      </c>
      <c r="I77" s="10">
        <f>((((I72)+(I73))+(I74))+(I75))+(I76)</f>
        <v>1351.63</v>
      </c>
      <c r="J77" s="10">
        <f>((((J72)+(J73))+(J74))+(J75))+(J76)</f>
        <v>1214.1399999999999</v>
      </c>
      <c r="K77" s="10">
        <f>((((K72)+(K73))+(K74))+(K75))+(K76)</f>
        <v>600.89</v>
      </c>
      <c r="L77" s="10">
        <f>(((((((((B77)+(C77))+(D77))+(E77))+(F77))+(G77))+(H77))+(I77))+(J77))+(K77)</f>
        <v>3757.5899999999997</v>
      </c>
    </row>
    <row r="78" spans="1:12" x14ac:dyDescent="0.3">
      <c r="A78" s="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x14ac:dyDescent="0.3">
      <c r="A79" s="3" t="s">
        <v>56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3">
      <c r="A80" s="3" t="s">
        <v>55</v>
      </c>
      <c r="B80" s="8"/>
      <c r="C80" s="8"/>
      <c r="D80" s="8">
        <f>84.81</f>
        <v>84.81</v>
      </c>
      <c r="E80" s="8"/>
      <c r="F80" s="8">
        <f>339.45</f>
        <v>339.45</v>
      </c>
      <c r="G80" s="8">
        <f>1348.59</f>
        <v>1348.59</v>
      </c>
      <c r="H80" s="8">
        <f>1180.27</f>
        <v>1180.27</v>
      </c>
      <c r="I80" s="8">
        <f>700.16</f>
        <v>700.16</v>
      </c>
      <c r="J80" s="8">
        <f>-22.82</f>
        <v>-22.82</v>
      </c>
      <c r="K80" s="8">
        <f>50.13</f>
        <v>50.13</v>
      </c>
      <c r="L80" s="8">
        <f>(((((((((B80)+(C80))+(D80))+(E80))+(F80))+(G80))+(H80))+(I80))+(J80))+(K80)</f>
        <v>3680.5899999999997</v>
      </c>
    </row>
    <row r="81" spans="1:12" x14ac:dyDescent="0.3">
      <c r="A81" s="3" t="s">
        <v>54</v>
      </c>
      <c r="B81" s="8">
        <f>50</f>
        <v>50</v>
      </c>
      <c r="C81" s="8"/>
      <c r="D81" s="8"/>
      <c r="E81" s="8"/>
      <c r="F81" s="8"/>
      <c r="G81" s="8"/>
      <c r="H81" s="8"/>
      <c r="I81" s="8"/>
      <c r="J81" s="8">
        <f>1291.25</f>
        <v>1291.25</v>
      </c>
      <c r="K81" s="8"/>
      <c r="L81" s="8">
        <f>(((((((((B81)+(C81))+(D81))+(E81))+(F81))+(G81))+(H81))+(I81))+(J81))+(K81)</f>
        <v>1341.25</v>
      </c>
    </row>
    <row r="82" spans="1:12" x14ac:dyDescent="0.3">
      <c r="A82" s="3" t="s">
        <v>53</v>
      </c>
      <c r="B82" s="8"/>
      <c r="C82" s="8">
        <f>28.87</f>
        <v>28.87</v>
      </c>
      <c r="D82" s="8">
        <f>37.33</f>
        <v>37.33</v>
      </c>
      <c r="E82" s="8"/>
      <c r="F82" s="8">
        <f>147.49</f>
        <v>147.49</v>
      </c>
      <c r="G82" s="8">
        <f>240.13</f>
        <v>240.13</v>
      </c>
      <c r="H82" s="8">
        <f>328.81</f>
        <v>328.81</v>
      </c>
      <c r="I82" s="8">
        <f>69.47</f>
        <v>69.47</v>
      </c>
      <c r="J82" s="8"/>
      <c r="K82" s="8"/>
      <c r="L82" s="8">
        <f>(((((((((B82)+(C82))+(D82))+(E82))+(F82))+(G82))+(H82))+(I82))+(J82))+(K82)</f>
        <v>852.1</v>
      </c>
    </row>
    <row r="83" spans="1:12" x14ac:dyDescent="0.3">
      <c r="A83" s="3" t="s">
        <v>52</v>
      </c>
      <c r="B83" s="8"/>
      <c r="C83" s="8"/>
      <c r="D83" s="8">
        <f>3.16</f>
        <v>3.16</v>
      </c>
      <c r="E83" s="8"/>
      <c r="F83" s="8"/>
      <c r="G83" s="8"/>
      <c r="H83" s="8"/>
      <c r="I83" s="8">
        <f>219.3</f>
        <v>219.3</v>
      </c>
      <c r="J83" s="8">
        <f>116.06</f>
        <v>116.06</v>
      </c>
      <c r="K83" s="8">
        <f>196.78</f>
        <v>196.78</v>
      </c>
      <c r="L83" s="8">
        <f>(((((((((B83)+(C83))+(D83))+(E83))+(F83))+(G83))+(H83))+(I83))+(J83))+(K83)</f>
        <v>535.29999999999995</v>
      </c>
    </row>
    <row r="84" spans="1:12" x14ac:dyDescent="0.3">
      <c r="A84" s="3" t="s">
        <v>51</v>
      </c>
      <c r="B84" s="8"/>
      <c r="C84" s="8"/>
      <c r="D84" s="8"/>
      <c r="E84" s="8">
        <f>1140.8</f>
        <v>1140.8</v>
      </c>
      <c r="F84" s="8"/>
      <c r="G84" s="8"/>
      <c r="H84" s="8"/>
      <c r="I84" s="8"/>
      <c r="J84" s="8"/>
      <c r="K84" s="8">
        <f>48.05</f>
        <v>48.05</v>
      </c>
      <c r="L84" s="8">
        <f>(((((((((B84)+(C84))+(D84))+(E84))+(F84))+(G84))+(H84))+(I84))+(J84))+(K84)</f>
        <v>1188.8499999999999</v>
      </c>
    </row>
    <row r="85" spans="1:12" x14ac:dyDescent="0.3">
      <c r="A85" s="3" t="s">
        <v>50</v>
      </c>
      <c r="B85" s="8"/>
      <c r="C85" s="8">
        <f>352</f>
        <v>352</v>
      </c>
      <c r="D85" s="8"/>
      <c r="E85" s="8"/>
      <c r="F85" s="8"/>
      <c r="G85" s="8">
        <f>288</f>
        <v>288</v>
      </c>
      <c r="H85" s="8"/>
      <c r="I85" s="8"/>
      <c r="J85" s="8"/>
      <c r="K85" s="8"/>
      <c r="L85" s="8">
        <f>(((((((((B85)+(C85))+(D85))+(E85))+(F85))+(G85))+(H85))+(I85))+(J85))+(K85)</f>
        <v>640</v>
      </c>
    </row>
    <row r="86" spans="1:12" x14ac:dyDescent="0.3">
      <c r="A86" s="3" t="s">
        <v>49</v>
      </c>
      <c r="B86" s="8"/>
      <c r="C86" s="8"/>
      <c r="D86" s="8">
        <f>130.51</f>
        <v>130.51</v>
      </c>
      <c r="E86" s="8">
        <f>55.33</f>
        <v>55.33</v>
      </c>
      <c r="F86" s="8"/>
      <c r="G86" s="8"/>
      <c r="H86" s="8">
        <f>104.2</f>
        <v>104.2</v>
      </c>
      <c r="I86" s="8">
        <f>385.55</f>
        <v>385.55</v>
      </c>
      <c r="J86" s="8">
        <f>64.53</f>
        <v>64.53</v>
      </c>
      <c r="K86" s="8"/>
      <c r="L86" s="8">
        <f>(((((((((B86)+(C86))+(D86))+(E86))+(F86))+(G86))+(H86))+(I86))+(J86))+(K86)</f>
        <v>740.11999999999989</v>
      </c>
    </row>
    <row r="87" spans="1:12" x14ac:dyDescent="0.3">
      <c r="A87" s="3" t="s">
        <v>48</v>
      </c>
      <c r="B87" s="10">
        <f>(((((((B79)+(B80))+(B81))+(B82))+(B83))+(B84))+(B85))+(B86)</f>
        <v>50</v>
      </c>
      <c r="C87" s="10">
        <f>(((((((C79)+(C80))+(C81))+(C82))+(C83))+(C84))+(C85))+(C86)</f>
        <v>380.87</v>
      </c>
      <c r="D87" s="10">
        <f>(((((((D79)+(D80))+(D81))+(D82))+(D83))+(D84))+(D85))+(D86)</f>
        <v>255.81</v>
      </c>
      <c r="E87" s="10">
        <f>(((((((E79)+(E80))+(E81))+(E82))+(E83))+(E84))+(E85))+(E86)</f>
        <v>1196.1299999999999</v>
      </c>
      <c r="F87" s="10">
        <f>(((((((F79)+(F80))+(F81))+(F82))+(F83))+(F84))+(F85))+(F86)</f>
        <v>486.94</v>
      </c>
      <c r="G87" s="10">
        <f>(((((((G79)+(G80))+(G81))+(G82))+(G83))+(G84))+(G85))+(G86)</f>
        <v>1876.7199999999998</v>
      </c>
      <c r="H87" s="10">
        <f>(((((((H79)+(H80))+(H81))+(H82))+(H83))+(H84))+(H85))+(H86)</f>
        <v>1613.28</v>
      </c>
      <c r="I87" s="10">
        <f>(((((((I79)+(I80))+(I81))+(I82))+(I83))+(I84))+(I85))+(I86)</f>
        <v>1374.48</v>
      </c>
      <c r="J87" s="10">
        <f>(((((((J79)+(J80))+(J81))+(J82))+(J83))+(J84))+(J85))+(J86)</f>
        <v>1449.02</v>
      </c>
      <c r="K87" s="10">
        <f>(((((((K79)+(K80))+(K81))+(K82))+(K83))+(K84))+(K85))+(K86)</f>
        <v>294.95999999999998</v>
      </c>
      <c r="L87" s="10">
        <f>(((((((((B87)+(C87))+(D87))+(E87))+(F87))+(G87))+(H87))+(I87))+(J87))+(K87)</f>
        <v>8978.2099999999991</v>
      </c>
    </row>
    <row r="88" spans="1:12" x14ac:dyDescent="0.3">
      <c r="A88" s="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x14ac:dyDescent="0.3">
      <c r="A89" s="3" t="s">
        <v>47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x14ac:dyDescent="0.3">
      <c r="A90" s="3" t="s">
        <v>46</v>
      </c>
      <c r="B90" s="8">
        <f>141.17</f>
        <v>141.16999999999999</v>
      </c>
      <c r="C90" s="8">
        <f>141.17</f>
        <v>141.16999999999999</v>
      </c>
      <c r="D90" s="8">
        <f>141.17</f>
        <v>141.16999999999999</v>
      </c>
      <c r="E90" s="8">
        <f>141.17</f>
        <v>141.16999999999999</v>
      </c>
      <c r="F90" s="8">
        <f>370.55</f>
        <v>370.55</v>
      </c>
      <c r="G90" s="8"/>
      <c r="H90" s="8">
        <f>2466</f>
        <v>2466</v>
      </c>
      <c r="I90" s="8"/>
      <c r="J90" s="8"/>
      <c r="K90" s="8"/>
      <c r="L90" s="8">
        <f>(((((((((B90)+(C90))+(D90))+(E90))+(F90))+(G90))+(H90))+(I90))+(J90))+(K90)</f>
        <v>3401.23</v>
      </c>
    </row>
    <row r="91" spans="1:12" x14ac:dyDescent="0.3">
      <c r="A91" s="3" t="s">
        <v>45</v>
      </c>
      <c r="B91" s="8"/>
      <c r="C91" s="8">
        <f>44.7</f>
        <v>44.7</v>
      </c>
      <c r="D91" s="8"/>
      <c r="E91" s="8">
        <f>4.05</f>
        <v>4.05</v>
      </c>
      <c r="F91" s="8">
        <f>25</f>
        <v>25</v>
      </c>
      <c r="G91" s="8"/>
      <c r="H91" s="8">
        <f>24.91</f>
        <v>24.91</v>
      </c>
      <c r="I91" s="8">
        <f>335.55</f>
        <v>335.55</v>
      </c>
      <c r="J91" s="8">
        <f>205.9</f>
        <v>205.9</v>
      </c>
      <c r="K91" s="8">
        <f>15.5</f>
        <v>15.5</v>
      </c>
      <c r="L91" s="8">
        <f>(((((((((B91)+(C91))+(D91))+(E91))+(F91))+(G91))+(H91))+(I91))+(J91))+(K91)</f>
        <v>655.61</v>
      </c>
    </row>
    <row r="92" spans="1:12" x14ac:dyDescent="0.3">
      <c r="A92" s="3" t="s">
        <v>44</v>
      </c>
      <c r="B92" s="8">
        <f>213.06</f>
        <v>213.06</v>
      </c>
      <c r="C92" s="8">
        <f>106.59</f>
        <v>106.59</v>
      </c>
      <c r="D92" s="8">
        <f>163.43</f>
        <v>163.43</v>
      </c>
      <c r="E92" s="8">
        <f>463.37</f>
        <v>463.37</v>
      </c>
      <c r="F92" s="8">
        <f>144.07</f>
        <v>144.07</v>
      </c>
      <c r="G92" s="8">
        <f>129.63</f>
        <v>129.63</v>
      </c>
      <c r="H92" s="8">
        <f>135.96</f>
        <v>135.96</v>
      </c>
      <c r="I92" s="8">
        <f>205.77</f>
        <v>205.77</v>
      </c>
      <c r="J92" s="8">
        <f>309.3</f>
        <v>309.3</v>
      </c>
      <c r="K92" s="8">
        <f>219.76</f>
        <v>219.76</v>
      </c>
      <c r="L92" s="8">
        <f>(((((((((B92)+(C92))+(D92))+(E92))+(F92))+(G92))+(H92))+(I92))+(J92))+(K92)</f>
        <v>2090.94</v>
      </c>
    </row>
    <row r="93" spans="1:12" x14ac:dyDescent="0.3">
      <c r="A93" s="3" t="s">
        <v>43</v>
      </c>
      <c r="B93" s="8">
        <f>78.14</f>
        <v>78.14</v>
      </c>
      <c r="C93" s="8">
        <f>142.98</f>
        <v>142.97999999999999</v>
      </c>
      <c r="D93" s="8">
        <f>322.69</f>
        <v>322.69</v>
      </c>
      <c r="E93" s="8">
        <f>421.09</f>
        <v>421.09</v>
      </c>
      <c r="F93" s="8">
        <f>63.33</f>
        <v>63.33</v>
      </c>
      <c r="G93" s="8">
        <f>58.16</f>
        <v>58.16</v>
      </c>
      <c r="H93" s="8">
        <f>207.29</f>
        <v>207.29</v>
      </c>
      <c r="I93" s="8">
        <f>126.25</f>
        <v>126.25</v>
      </c>
      <c r="J93" s="8">
        <f>58.16</f>
        <v>58.16</v>
      </c>
      <c r="K93" s="8">
        <f>58.16</f>
        <v>58.16</v>
      </c>
      <c r="L93" s="8">
        <f>(((((((((B93)+(C93))+(D93))+(E93))+(F93))+(G93))+(H93))+(I93))+(J93))+(K93)</f>
        <v>1536.25</v>
      </c>
    </row>
    <row r="94" spans="1:12" x14ac:dyDescent="0.3">
      <c r="A94" s="3" t="s">
        <v>42</v>
      </c>
      <c r="B94" s="8"/>
      <c r="C94" s="8"/>
      <c r="D94" s="8"/>
      <c r="E94" s="8">
        <f>284</f>
        <v>284</v>
      </c>
      <c r="F94" s="8"/>
      <c r="G94" s="8"/>
      <c r="H94" s="8"/>
      <c r="I94" s="8"/>
      <c r="J94" s="8"/>
      <c r="K94" s="8">
        <f>300.48</f>
        <v>300.48</v>
      </c>
      <c r="L94" s="8">
        <f>(((((((((B94)+(C94))+(D94))+(E94))+(F94))+(G94))+(H94))+(I94))+(J94))+(K94)</f>
        <v>584.48</v>
      </c>
    </row>
    <row r="95" spans="1:12" x14ac:dyDescent="0.3">
      <c r="A95" s="3" t="s">
        <v>41</v>
      </c>
      <c r="B95" s="8">
        <f>120</f>
        <v>120</v>
      </c>
      <c r="C95" s="8"/>
      <c r="D95" s="8"/>
      <c r="E95" s="8"/>
      <c r="F95" s="8"/>
      <c r="G95" s="8"/>
      <c r="H95" s="8"/>
      <c r="I95" s="8"/>
      <c r="J95" s="8"/>
      <c r="K95" s="8">
        <f>20.46</f>
        <v>20.46</v>
      </c>
      <c r="L95" s="8">
        <f>(((((((((B95)+(C95))+(D95))+(E95))+(F95))+(G95))+(H95))+(I95))+(J95))+(K95)</f>
        <v>140.46</v>
      </c>
    </row>
    <row r="96" spans="1:12" x14ac:dyDescent="0.3">
      <c r="A96" s="3" t="s">
        <v>40</v>
      </c>
      <c r="B96" s="8"/>
      <c r="C96" s="8"/>
      <c r="D96" s="8"/>
      <c r="E96" s="8"/>
      <c r="F96" s="8"/>
      <c r="G96" s="8">
        <f>6</f>
        <v>6</v>
      </c>
      <c r="H96" s="8">
        <f>10.45</f>
        <v>10.45</v>
      </c>
      <c r="I96" s="8">
        <f>170.3</f>
        <v>170.3</v>
      </c>
      <c r="J96" s="8">
        <f>-77.88</f>
        <v>-77.88</v>
      </c>
      <c r="K96" s="8">
        <f>65</f>
        <v>65</v>
      </c>
      <c r="L96" s="8">
        <f>(((((((((B96)+(C96))+(D96))+(E96))+(F96))+(G96))+(H96))+(I96))+(J96))+(K96)</f>
        <v>173.87</v>
      </c>
    </row>
    <row r="97" spans="1:12" x14ac:dyDescent="0.3">
      <c r="A97" s="3" t="s">
        <v>39</v>
      </c>
      <c r="B97" s="10">
        <f>(((((((B89)+(B90))+(B91))+(B92))+(B93))+(B94))+(B95))+(B96)</f>
        <v>552.37</v>
      </c>
      <c r="C97" s="10">
        <f>(((((((C89)+(C90))+(C91))+(C92))+(C93))+(C94))+(C95))+(C96)</f>
        <v>435.44000000000005</v>
      </c>
      <c r="D97" s="10">
        <f>(((((((D89)+(D90))+(D91))+(D92))+(D93))+(D94))+(D95))+(D96)</f>
        <v>627.29</v>
      </c>
      <c r="E97" s="10">
        <f>(((((((E89)+(E90))+(E91))+(E92))+(E93))+(E94))+(E95))+(E96)</f>
        <v>1313.68</v>
      </c>
      <c r="F97" s="10">
        <f>(((((((F89)+(F90))+(F91))+(F92))+(F93))+(F94))+(F95))+(F96)</f>
        <v>602.95000000000005</v>
      </c>
      <c r="G97" s="10">
        <f>(((((((G89)+(G90))+(G91))+(G92))+(G93))+(G94))+(G95))+(G96)</f>
        <v>193.79</v>
      </c>
      <c r="H97" s="10">
        <f>(((((((H89)+(H90))+(H91))+(H92))+(H93))+(H94))+(H95))+(H96)</f>
        <v>2844.6099999999997</v>
      </c>
      <c r="I97" s="10">
        <f>(((((((I89)+(I90))+(I91))+(I92))+(I93))+(I94))+(I95))+(I96)</f>
        <v>837.87000000000012</v>
      </c>
      <c r="J97" s="10">
        <f>(((((((J89)+(J90))+(J91))+(J92))+(J93))+(J94))+(J95))+(J96)</f>
        <v>495.48</v>
      </c>
      <c r="K97" s="10">
        <f>(((((((K89)+(K90))+(K91))+(K92))+(K93))+(K94))+(K95))+(K96)</f>
        <v>679.36</v>
      </c>
      <c r="L97" s="10">
        <f>(((((((((B97)+(C97))+(D97))+(E97))+(F97))+(G97))+(H97))+(I97))+(J97))+(K97)</f>
        <v>8582.84</v>
      </c>
    </row>
    <row r="98" spans="1:12" x14ac:dyDescent="0.3">
      <c r="A98" s="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x14ac:dyDescent="0.3">
      <c r="A99" s="3" t="s">
        <v>38</v>
      </c>
      <c r="B99" s="10">
        <f>((((((B51)+(B57))+(B66))+(B70))+(B77))+(B87))+(B97)</f>
        <v>5724.38</v>
      </c>
      <c r="C99" s="10">
        <f>((((((C51)+(C57))+(C66))+(C70))+(C77))+(C87))+(C97)</f>
        <v>12312.51</v>
      </c>
      <c r="D99" s="10">
        <f>((((((D51)+(D57))+(D66))+(D70))+(D77))+(D87))+(D97)</f>
        <v>9286.5299999999988</v>
      </c>
      <c r="E99" s="10">
        <f>((((((E51)+(E57))+(E66))+(E70))+(E77))+(E87))+(E97)</f>
        <v>12105.349999999999</v>
      </c>
      <c r="F99" s="10">
        <f>((((((F51)+(F57))+(F66))+(F70))+(F77))+(F87))+(F97)</f>
        <v>9524.2900000000009</v>
      </c>
      <c r="G99" s="10">
        <f>((((((G51)+(G57))+(G66))+(G70))+(G77))+(G87))+(G97)</f>
        <v>8455.9500000000007</v>
      </c>
      <c r="H99" s="10">
        <f>((((((H51)+(H57))+(H66))+(H70))+(H77))+(H87))+(H97)</f>
        <v>15746.18</v>
      </c>
      <c r="I99" s="10">
        <f>((((((I51)+(I57))+(I66))+(I70))+(I77))+(I87))+(I97)</f>
        <v>19836.02</v>
      </c>
      <c r="J99" s="10">
        <f>((((((J51)+(J57))+(J66))+(J70))+(J77))+(J87))+(J97)</f>
        <v>19246.370000000003</v>
      </c>
      <c r="K99" s="10">
        <f>((((((K51)+(K57))+(K66))+(K70))+(K77))+(K87))+(K97)</f>
        <v>8512.630000000001</v>
      </c>
      <c r="L99" s="10">
        <f>(((((((((B99)+(C99))+(D99))+(E99))+(F99))+(G99))+(H99))+(I99))+(J99))+(K99)</f>
        <v>120750.21000000002</v>
      </c>
    </row>
    <row r="100" spans="1:12" x14ac:dyDescent="0.3">
      <c r="A100" s="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idden="1" x14ac:dyDescent="0.3">
      <c r="A101" s="3" t="s">
        <v>37</v>
      </c>
      <c r="B101" s="10">
        <f>(B44)-(B99)</f>
        <v>3134.2599999999993</v>
      </c>
      <c r="C101" s="10">
        <f>(C44)-(C99)</f>
        <v>-4060.3200000000015</v>
      </c>
      <c r="D101" s="10">
        <f>(D44)-(D99)</f>
        <v>7439.5</v>
      </c>
      <c r="E101" s="10">
        <f>(E44)-(E99)</f>
        <v>3886.840000000002</v>
      </c>
      <c r="F101" s="10">
        <f>(F44)-(F99)</f>
        <v>-539.1200000000008</v>
      </c>
      <c r="G101" s="10">
        <f>(G44)-(G99)</f>
        <v>-3016.7700000000004</v>
      </c>
      <c r="H101" s="10">
        <f>(H44)-(H99)</f>
        <v>-5293.02</v>
      </c>
      <c r="I101" s="10">
        <f>(I44)-(I99)</f>
        <v>-1607.489999999998</v>
      </c>
      <c r="J101" s="10">
        <f>(J44)-(J99)</f>
        <v>9493.8199999999961</v>
      </c>
      <c r="K101" s="10">
        <f>(K44)-(K99)</f>
        <v>-1348.130000000001</v>
      </c>
      <c r="L101" s="10">
        <f>(((((((((B101)+(C101))+(D101))+(E101))+(F101))+(G101))+(H101))+(I101))+(J101))+(K101)</f>
        <v>8089.5699999999943</v>
      </c>
    </row>
    <row r="102" spans="1:12" hidden="1" x14ac:dyDescent="0.3">
      <c r="A102" s="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" thickBot="1" x14ac:dyDescent="0.35">
      <c r="A103" s="3" t="s">
        <v>36</v>
      </c>
      <c r="B103" s="12">
        <f>(B101)+(0)</f>
        <v>3134.2599999999993</v>
      </c>
      <c r="C103" s="12">
        <f>(C101)+(0)</f>
        <v>-4060.3200000000015</v>
      </c>
      <c r="D103" s="12">
        <f>(D101)+(0)</f>
        <v>7439.5</v>
      </c>
      <c r="E103" s="12">
        <f>(E101)+(0)</f>
        <v>3886.840000000002</v>
      </c>
      <c r="F103" s="12">
        <f>(F101)+(0)</f>
        <v>-539.1200000000008</v>
      </c>
      <c r="G103" s="12">
        <f>(G101)+(0)</f>
        <v>-3016.7700000000004</v>
      </c>
      <c r="H103" s="12">
        <f>(H101)+(0)</f>
        <v>-5293.02</v>
      </c>
      <c r="I103" s="12">
        <f>(I101)+(0)</f>
        <v>-1607.489999999998</v>
      </c>
      <c r="J103" s="12">
        <f>(J101)+(0)</f>
        <v>9493.8199999999961</v>
      </c>
      <c r="K103" s="12">
        <f>(K101)+(0)</f>
        <v>-1348.130000000001</v>
      </c>
      <c r="L103" s="12">
        <f>(((((((((B103)+(C103))+(D103))+(E103))+(F103))+(G103))+(H103))+(I103))+(J103))+(K103)</f>
        <v>8089.5699999999943</v>
      </c>
    </row>
    <row r="104" spans="1:12" ht="15" thickTop="1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</sheetData>
  <mergeCells count="3">
    <mergeCell ref="A1:L1"/>
    <mergeCell ref="A2:L2"/>
    <mergeCell ref="A3:L3"/>
  </mergeCells>
  <printOptions horizontalCentered="1"/>
  <pageMargins left="0.7" right="0.7" top="0.75" bottom="0.75" header="0.3" footer="0.3"/>
  <pageSetup scale="74" fitToHeight="0" orientation="landscape" r:id="rId1"/>
  <headerFooter>
    <oddFooter>Page &amp;P of &amp;N</oddFooter>
  </headerFooter>
  <rowBreaks count="2" manualBreakCount="2">
    <brk id="35" max="16383" man="1"/>
    <brk id="71" max="16383" man="1"/>
  </rowBreaks>
  <ignoredErrors>
    <ignoredError sqref="C69 E53:G54 C26:J26 E50:G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CEB8-FB6F-44CE-8FF2-49135A712BEB}">
  <sheetPr>
    <pageSetUpPr fitToPage="1"/>
  </sheetPr>
  <dimension ref="A1:Y104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RowHeight="14.4" outlineLevelCol="2" x14ac:dyDescent="0.3"/>
  <cols>
    <col min="1" max="1" width="45.77734375" customWidth="1"/>
    <col min="2" max="2" width="10.77734375" customWidth="1" outlineLevel="1"/>
    <col min="3" max="8" width="10.77734375" customWidth="1" outlineLevel="2"/>
    <col min="9" max="9" width="10.77734375" customWidth="1" outlineLevel="1"/>
    <col min="10" max="11" width="11.77734375" bestFit="1" customWidth="1" outlineLevel="1"/>
    <col min="12" max="19" width="10.77734375" customWidth="1" outlineLevel="1"/>
    <col min="20" max="20" width="10.77734375" customWidth="1"/>
    <col min="21" max="21" width="12.33203125" bestFit="1" customWidth="1"/>
    <col min="22" max="23" width="10.77734375" customWidth="1" outlineLevel="1"/>
    <col min="24" max="25" width="10.77734375" customWidth="1"/>
  </cols>
  <sheetData>
    <row r="1" spans="1:25" ht="17.399999999999999" x14ac:dyDescent="0.3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7.399999999999999" x14ac:dyDescent="0.3">
      <c r="A2" s="5" t="s">
        <v>153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x14ac:dyDescent="0.3">
      <c r="A3" s="7" t="s">
        <v>116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5" spans="1:25" ht="48.6" x14ac:dyDescent="0.3">
      <c r="A5" s="1"/>
      <c r="B5" s="2" t="s">
        <v>152</v>
      </c>
      <c r="C5" s="2" t="s">
        <v>151</v>
      </c>
      <c r="D5" s="2" t="s">
        <v>150</v>
      </c>
      <c r="E5" s="2" t="s">
        <v>149</v>
      </c>
      <c r="F5" s="2" t="s">
        <v>148</v>
      </c>
      <c r="G5" s="2" t="s">
        <v>147</v>
      </c>
      <c r="H5" s="2" t="s">
        <v>146</v>
      </c>
      <c r="I5" s="2" t="s">
        <v>145</v>
      </c>
      <c r="J5" s="2" t="s">
        <v>144</v>
      </c>
      <c r="K5" s="2" t="s">
        <v>143</v>
      </c>
      <c r="L5" s="2" t="s">
        <v>142</v>
      </c>
      <c r="M5" s="2" t="s">
        <v>141</v>
      </c>
      <c r="N5" s="2" t="s">
        <v>140</v>
      </c>
      <c r="O5" s="2" t="s">
        <v>139</v>
      </c>
      <c r="P5" s="2" t="s">
        <v>138</v>
      </c>
      <c r="Q5" s="2" t="s">
        <v>137</v>
      </c>
      <c r="R5" s="2" t="s">
        <v>136</v>
      </c>
      <c r="S5" s="2" t="s">
        <v>135</v>
      </c>
      <c r="T5" s="2" t="s">
        <v>134</v>
      </c>
      <c r="U5" s="2" t="s">
        <v>133</v>
      </c>
      <c r="V5" s="2" t="s">
        <v>132</v>
      </c>
      <c r="W5" s="2" t="s">
        <v>131</v>
      </c>
      <c r="X5" s="2" t="s">
        <v>130</v>
      </c>
      <c r="Y5" s="2" t="s">
        <v>129</v>
      </c>
    </row>
    <row r="6" spans="1:25" x14ac:dyDescent="0.3">
      <c r="A6" s="3" t="s">
        <v>115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3">
      <c r="A7" s="3" t="s">
        <v>114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x14ac:dyDescent="0.3">
      <c r="A8" s="3" t="s">
        <v>113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1125.28</f>
        <v>1125.28</v>
      </c>
      <c r="Q8" s="8">
        <f>345</f>
        <v>345</v>
      </c>
      <c r="R8" s="8"/>
      <c r="S8" s="8">
        <f>42438.78</f>
        <v>42438.78</v>
      </c>
      <c r="T8" s="8">
        <f>(((((((((((B8)+(I8))+(J8))+(K8))+(L8))+(M8))+(N8))+(O8))+(P8))+(Q8))+(R8))+(S8)</f>
        <v>43909.06</v>
      </c>
      <c r="U8" s="8"/>
      <c r="V8" s="8"/>
      <c r="W8" s="8"/>
      <c r="X8" s="8"/>
      <c r="Y8" s="8">
        <f>((T8)+(U8))+(X8)</f>
        <v>43909.06</v>
      </c>
    </row>
    <row r="9" spans="1:25" x14ac:dyDescent="0.3">
      <c r="A9" s="3" t="s">
        <v>112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>
        <f>7000</f>
        <v>7000</v>
      </c>
      <c r="T9" s="8">
        <f>(((((((((((B9)+(I9))+(J9))+(K9))+(L9))+(M9))+(N9))+(O9))+(P9))+(Q9))+(R9))+(S9)</f>
        <v>7000</v>
      </c>
      <c r="U9" s="8"/>
      <c r="V9" s="8"/>
      <c r="W9" s="8"/>
      <c r="X9" s="8"/>
      <c r="Y9" s="8">
        <f>((T9)+(U9))+(X9)</f>
        <v>7000</v>
      </c>
    </row>
    <row r="10" spans="1:25" x14ac:dyDescent="0.3">
      <c r="A10" s="3" t="s">
        <v>111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>600</f>
        <v>600</v>
      </c>
      <c r="Q10" s="8"/>
      <c r="R10" s="8"/>
      <c r="S10" s="8"/>
      <c r="T10" s="8">
        <f>(((((((((((B10)+(I10))+(J10))+(K10))+(L10))+(M10))+(N10))+(O10))+(P10))+(Q10))+(R10))+(S10)</f>
        <v>600</v>
      </c>
      <c r="U10" s="8"/>
      <c r="V10" s="8"/>
      <c r="W10" s="8"/>
      <c r="X10" s="8"/>
      <c r="Y10" s="8">
        <f>((T10)+(U10))+(X10)</f>
        <v>600</v>
      </c>
    </row>
    <row r="11" spans="1:25" x14ac:dyDescent="0.3">
      <c r="A11" s="3" t="s">
        <v>110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f>743.15</f>
        <v>743.15</v>
      </c>
      <c r="V11" s="8"/>
      <c r="W11" s="8"/>
      <c r="X11" s="8"/>
      <c r="Y11" s="8">
        <f>((T11)+(U11))+(X11)</f>
        <v>743.15</v>
      </c>
    </row>
    <row r="12" spans="1:25" x14ac:dyDescent="0.3">
      <c r="A12" s="3" t="s">
        <v>109</v>
      </c>
      <c r="B12" s="10">
        <f>((((B7)+(B8))+(B9))+(B10))+(B11)</f>
        <v>0</v>
      </c>
      <c r="C12" s="10">
        <f>((((C7)+(C8))+(C9))+(C10))+(C11)</f>
        <v>0</v>
      </c>
      <c r="D12" s="10">
        <f>((((D7)+(D8))+(D9))+(D10))+(D11)</f>
        <v>0</v>
      </c>
      <c r="E12" s="10">
        <f>((((E7)+(E8))+(E9))+(E10))+(E11)</f>
        <v>0</v>
      </c>
      <c r="F12" s="10">
        <f>((((F7)+(F8))+(F9))+(F10))+(F11)</f>
        <v>0</v>
      </c>
      <c r="G12" s="10">
        <f>((((G7)+(G8))+(G9))+(G10))+(G11)</f>
        <v>0</v>
      </c>
      <c r="H12" s="10">
        <f>((((H7)+(H8))+(H9))+(H10))+(H11)</f>
        <v>0</v>
      </c>
      <c r="I12" s="10">
        <f>(((((C12)+(D12))+(E12))+(F12))+(G12))+(H12)</f>
        <v>0</v>
      </c>
      <c r="J12" s="10">
        <f>((((J7)+(J8))+(J9))+(J10))+(J11)</f>
        <v>0</v>
      </c>
      <c r="K12" s="10">
        <f>((((K7)+(K8))+(K9))+(K10))+(K11)</f>
        <v>0</v>
      </c>
      <c r="L12" s="10">
        <f>((((L7)+(L8))+(L9))+(L10))+(L11)</f>
        <v>0</v>
      </c>
      <c r="M12" s="10">
        <f>((((M7)+(M8))+(M9))+(M10))+(M11)</f>
        <v>0</v>
      </c>
      <c r="N12" s="10">
        <f>((((N7)+(N8))+(N9))+(N10))+(N11)</f>
        <v>0</v>
      </c>
      <c r="O12" s="10">
        <f>((((O7)+(O8))+(O9))+(O10))+(O11)</f>
        <v>0</v>
      </c>
      <c r="P12" s="10">
        <f>((((P7)+(P8))+(P9))+(P10))+(P11)</f>
        <v>1725.28</v>
      </c>
      <c r="Q12" s="10">
        <f>((((Q7)+(Q8))+(Q9))+(Q10))+(Q11)</f>
        <v>345</v>
      </c>
      <c r="R12" s="10">
        <f>((((R7)+(R8))+(R9))+(R10))+(R11)</f>
        <v>0</v>
      </c>
      <c r="S12" s="10">
        <f>((((S7)+(S8))+(S9))+(S10))+(S11)</f>
        <v>49438.78</v>
      </c>
      <c r="T12" s="10">
        <f>(((((((((((B12)+(I12))+(J12))+(K12))+(L12))+(M12))+(N12))+(O12))+(P12))+(Q12))+(R12))+(S12)</f>
        <v>51509.06</v>
      </c>
      <c r="U12" s="10">
        <f>((((U7)+(U8))+(U9))+(U10))+(U11)</f>
        <v>743.15</v>
      </c>
      <c r="V12" s="10">
        <f>((((V7)+(V8))+(V9))+(V10))+(V11)</f>
        <v>0</v>
      </c>
      <c r="W12" s="10">
        <f>((((W7)+(W8))+(W9))+(W10))+(W11)</f>
        <v>0</v>
      </c>
      <c r="X12" s="10">
        <f>(V12)+(W12)</f>
        <v>0</v>
      </c>
      <c r="Y12" s="10">
        <f>((T12)+(U12))+(X12)</f>
        <v>52252.21</v>
      </c>
    </row>
    <row r="13" spans="1:25" x14ac:dyDescent="0.3">
      <c r="A13" s="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x14ac:dyDescent="0.3">
      <c r="A14" s="3" t="s">
        <v>108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x14ac:dyDescent="0.3">
      <c r="A15" s="3" t="s">
        <v>107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>5000</f>
        <v>5000</v>
      </c>
      <c r="Q15" s="8"/>
      <c r="R15" s="8"/>
      <c r="S15" s="8"/>
      <c r="T15" s="8">
        <f>(((((((((((B15)+(I15))+(J15))+(K15))+(L15))+(M15))+(N15))+(O15))+(P15))+(Q15))+(R15))+(S15)</f>
        <v>5000</v>
      </c>
      <c r="U15" s="8"/>
      <c r="V15" s="8"/>
      <c r="W15" s="8"/>
      <c r="X15" s="8"/>
      <c r="Y15" s="8">
        <f>((T15)+(U15))+(X15)</f>
        <v>5000</v>
      </c>
    </row>
    <row r="16" spans="1:25" x14ac:dyDescent="0.3">
      <c r="A16" s="3" t="s">
        <v>106</v>
      </c>
      <c r="B16" s="10">
        <f>(B14)+(B15)</f>
        <v>0</v>
      </c>
      <c r="C16" s="10">
        <f>(C14)+(C15)</f>
        <v>0</v>
      </c>
      <c r="D16" s="10">
        <f>(D14)+(D15)</f>
        <v>0</v>
      </c>
      <c r="E16" s="10">
        <f>(E14)+(E15)</f>
        <v>0</v>
      </c>
      <c r="F16" s="10">
        <f>(F14)+(F15)</f>
        <v>0</v>
      </c>
      <c r="G16" s="10">
        <f>(G14)+(G15)</f>
        <v>0</v>
      </c>
      <c r="H16" s="10">
        <f>(H14)+(H15)</f>
        <v>0</v>
      </c>
      <c r="I16" s="10">
        <f>(((((C16)+(D16))+(E16))+(F16))+(G16))+(H16)</f>
        <v>0</v>
      </c>
      <c r="J16" s="10">
        <f>(J14)+(J15)</f>
        <v>0</v>
      </c>
      <c r="K16" s="10">
        <f>(K14)+(K15)</f>
        <v>0</v>
      </c>
      <c r="L16" s="10">
        <f>(L14)+(L15)</f>
        <v>0</v>
      </c>
      <c r="M16" s="10">
        <f>(M14)+(M15)</f>
        <v>0</v>
      </c>
      <c r="N16" s="10">
        <f>(N14)+(N15)</f>
        <v>0</v>
      </c>
      <c r="O16" s="10">
        <f>(O14)+(O15)</f>
        <v>0</v>
      </c>
      <c r="P16" s="10">
        <f>(P14)+(P15)</f>
        <v>5000</v>
      </c>
      <c r="Q16" s="10">
        <f>(Q14)+(Q15)</f>
        <v>0</v>
      </c>
      <c r="R16" s="10">
        <f>(R14)+(R15)</f>
        <v>0</v>
      </c>
      <c r="S16" s="10">
        <f>(S14)+(S15)</f>
        <v>0</v>
      </c>
      <c r="T16" s="10">
        <f>(((((((((((B16)+(I16))+(J16))+(K16))+(L16))+(M16))+(N16))+(O16))+(P16))+(Q16))+(R16))+(S16)</f>
        <v>5000</v>
      </c>
      <c r="U16" s="10">
        <f>(U14)+(U15)</f>
        <v>0</v>
      </c>
      <c r="V16" s="10">
        <f>(V14)+(V15)</f>
        <v>0</v>
      </c>
      <c r="W16" s="10">
        <f>(W14)+(W15)</f>
        <v>0</v>
      </c>
      <c r="X16" s="10">
        <f>(V16)+(W16)</f>
        <v>0</v>
      </c>
      <c r="Y16" s="10">
        <f>((T16)+(U16))+(X16)</f>
        <v>5000</v>
      </c>
    </row>
    <row r="17" spans="1:25" x14ac:dyDescent="0.3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x14ac:dyDescent="0.3">
      <c r="A18" s="3" t="s">
        <v>105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x14ac:dyDescent="0.3">
      <c r="A19" s="3" t="s">
        <v>104</v>
      </c>
      <c r="B19" s="8"/>
      <c r="C19" s="8"/>
      <c r="D19" s="8"/>
      <c r="E19" s="8"/>
      <c r="F19" s="8"/>
      <c r="G19" s="8"/>
      <c r="H19" s="8"/>
      <c r="I19" s="8"/>
      <c r="J19" s="8">
        <f>24547</f>
        <v>24547</v>
      </c>
      <c r="K19" s="8">
        <f>4545</f>
        <v>4545</v>
      </c>
      <c r="L19" s="8">
        <f>3970</f>
        <v>3970</v>
      </c>
      <c r="M19" s="8">
        <f>3750</f>
        <v>3750</v>
      </c>
      <c r="N19" s="8">
        <f>220</f>
        <v>220</v>
      </c>
      <c r="O19" s="8">
        <f>5892</f>
        <v>5892</v>
      </c>
      <c r="P19" s="8"/>
      <c r="Q19" s="8"/>
      <c r="R19" s="8">
        <f>765</f>
        <v>765</v>
      </c>
      <c r="S19" s="8"/>
      <c r="T19" s="8">
        <f>(((((((((((B19)+(I19))+(J19))+(K19))+(L19))+(M19))+(N19))+(O19))+(P19))+(Q19))+(R19))+(S19)</f>
        <v>43689</v>
      </c>
      <c r="U19" s="8"/>
      <c r="V19" s="8"/>
      <c r="W19" s="8"/>
      <c r="X19" s="8"/>
      <c r="Y19" s="8">
        <f>((T19)+(U19))+(X19)</f>
        <v>43689</v>
      </c>
    </row>
    <row r="20" spans="1:25" x14ac:dyDescent="0.3">
      <c r="A20" s="3" t="s">
        <v>103</v>
      </c>
      <c r="B20" s="8"/>
      <c r="C20" s="8"/>
      <c r="D20" s="8"/>
      <c r="E20" s="8"/>
      <c r="F20" s="8"/>
      <c r="G20" s="8">
        <f>655.34</f>
        <v>655.34</v>
      </c>
      <c r="H20" s="8"/>
      <c r="I20" s="8">
        <f>(((((C20)+(D20))+(E20))+(F20))+(G20))+(H20)</f>
        <v>655.34</v>
      </c>
      <c r="J20" s="8"/>
      <c r="K20" s="8"/>
      <c r="L20" s="8"/>
      <c r="M20" s="8"/>
      <c r="N20" s="8">
        <f>1201</f>
        <v>1201</v>
      </c>
      <c r="O20" s="8"/>
      <c r="P20" s="8">
        <f>14734.45</f>
        <v>14734.45</v>
      </c>
      <c r="Q20" s="8">
        <f>2675</f>
        <v>2675</v>
      </c>
      <c r="R20" s="8"/>
      <c r="S20" s="8"/>
      <c r="T20" s="8">
        <f>(((((((((((B20)+(I20))+(J20))+(K20))+(L20))+(M20))+(N20))+(O20))+(P20))+(Q20))+(R20))+(S20)</f>
        <v>19265.79</v>
      </c>
      <c r="U20" s="8"/>
      <c r="V20" s="8"/>
      <c r="W20" s="8"/>
      <c r="X20" s="8"/>
      <c r="Y20" s="8">
        <f>((T20)+(U20))+(X20)</f>
        <v>19265.79</v>
      </c>
    </row>
    <row r="21" spans="1:25" x14ac:dyDescent="0.3">
      <c r="A21" s="3" t="s">
        <v>102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>3504.85</f>
        <v>3504.85</v>
      </c>
      <c r="Q21" s="8">
        <f>63</f>
        <v>63</v>
      </c>
      <c r="R21" s="8"/>
      <c r="S21" s="8">
        <f>1765.72</f>
        <v>1765.72</v>
      </c>
      <c r="T21" s="8">
        <f>(((((((((((B21)+(I21))+(J21))+(K21))+(L21))+(M21))+(N21))+(O21))+(P21))+(Q21))+(R21))+(S21)</f>
        <v>5333.57</v>
      </c>
      <c r="U21" s="8"/>
      <c r="V21" s="8"/>
      <c r="W21" s="8"/>
      <c r="X21" s="8"/>
      <c r="Y21" s="8">
        <f>((T21)+(U21))+(X21)</f>
        <v>5333.57</v>
      </c>
    </row>
    <row r="22" spans="1:25" x14ac:dyDescent="0.3">
      <c r="A22" s="3" t="s">
        <v>101</v>
      </c>
      <c r="B22" s="8"/>
      <c r="C22" s="8"/>
      <c r="D22" s="8"/>
      <c r="E22" s="8"/>
      <c r="F22" s="8"/>
      <c r="G22" s="8"/>
      <c r="H22" s="8">
        <f>1064.97</f>
        <v>1064.97</v>
      </c>
      <c r="I22" s="8">
        <f>(((((C22)+(D22))+(E22))+(F22))+(G22))+(H22)</f>
        <v>1064.97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f>(((((((((((B22)+(I22))+(J22))+(K22))+(L22))+(M22))+(N22))+(O22))+(P22))+(Q22))+(R22))+(S22)</f>
        <v>1064.97</v>
      </c>
      <c r="U22" s="8"/>
      <c r="V22" s="8"/>
      <c r="W22" s="8"/>
      <c r="X22" s="8"/>
      <c r="Y22" s="8">
        <f>((T22)+(U22))+(X22)</f>
        <v>1064.97</v>
      </c>
    </row>
    <row r="23" spans="1:25" x14ac:dyDescent="0.3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3">
      <c r="A24" s="3" t="s">
        <v>100</v>
      </c>
      <c r="B24" s="10">
        <f>((((B18)+(B19))+(B20))+(B21))+(B22)</f>
        <v>0</v>
      </c>
      <c r="C24" s="10">
        <f>((((C18)+(C19))+(C20))+(C21))+(C22)</f>
        <v>0</v>
      </c>
      <c r="D24" s="10">
        <f>((((D18)+(D19))+(D20))+(D21))+(D22)</f>
        <v>0</v>
      </c>
      <c r="E24" s="10">
        <f>((((E18)+(E19))+(E20))+(E21))+(E22)</f>
        <v>0</v>
      </c>
      <c r="F24" s="10">
        <f>((((F18)+(F19))+(F20))+(F21))+(F22)</f>
        <v>0</v>
      </c>
      <c r="G24" s="10">
        <f>((((G18)+(G19))+(G20))+(G21))+(G22)</f>
        <v>655.34</v>
      </c>
      <c r="H24" s="10">
        <f>((((H18)+(H19))+(H20))+(H21))+(H22)</f>
        <v>1064.97</v>
      </c>
      <c r="I24" s="10">
        <f>(((((C24)+(D24))+(E24))+(F24))+(G24))+(H24)</f>
        <v>1720.31</v>
      </c>
      <c r="J24" s="10">
        <f>((((J18)+(J19))+(J20))+(J21))+(J22)</f>
        <v>24547</v>
      </c>
      <c r="K24" s="10">
        <f>((((K18)+(K19))+(K20))+(K21))+(K22)</f>
        <v>4545</v>
      </c>
      <c r="L24" s="10">
        <f>((((L18)+(L19))+(L20))+(L21))+(L22)</f>
        <v>3970</v>
      </c>
      <c r="M24" s="10">
        <f>((((M18)+(M19))+(M20))+(M21))+(M22)</f>
        <v>3750</v>
      </c>
      <c r="N24" s="10">
        <f>((((N18)+(N19))+(N20))+(N21))+(N22)</f>
        <v>1421</v>
      </c>
      <c r="O24" s="10">
        <f>((((O18)+(O19))+(O20))+(O21))+(O22)</f>
        <v>5892</v>
      </c>
      <c r="P24" s="10">
        <f>((((P18)+(P19))+(P20))+(P21))+(P22)</f>
        <v>18239.3</v>
      </c>
      <c r="Q24" s="10">
        <f>((((Q18)+(Q19))+(Q20))+(Q21))+(Q22)</f>
        <v>2738</v>
      </c>
      <c r="R24" s="10">
        <f>((((R18)+(R19))+(R20))+(R21))+(R22)</f>
        <v>765</v>
      </c>
      <c r="S24" s="10">
        <f>((((S18)+(S19))+(S20))+(S21))+(S22)</f>
        <v>1765.72</v>
      </c>
      <c r="T24" s="10">
        <f>(((((((((((B24)+(I24))+(J24))+(K24))+(L24))+(M24))+(N24))+(O24))+(P24))+(Q24))+(R24))+(S24)</f>
        <v>69353.33</v>
      </c>
      <c r="U24" s="10">
        <f>((((U18)+(U19))+(U20))+(U21))+(U22)</f>
        <v>0</v>
      </c>
      <c r="V24" s="10">
        <f>((((V18)+(V19))+(V20))+(V21))+(V22)</f>
        <v>0</v>
      </c>
      <c r="W24" s="10">
        <f>((((W18)+(W19))+(W20))+(W21))+(W22)</f>
        <v>0</v>
      </c>
      <c r="X24" s="10">
        <f>(V24)+(W24)</f>
        <v>0</v>
      </c>
      <c r="Y24" s="10">
        <f>((T24)+(U24))+(X24)</f>
        <v>69353.33</v>
      </c>
    </row>
    <row r="25" spans="1:25" x14ac:dyDescent="0.3">
      <c r="A25" s="3" t="s">
        <v>99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3">
      <c r="A26" s="3" t="s">
        <v>98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f>1.84</f>
        <v>1.84</v>
      </c>
      <c r="V26" s="8"/>
      <c r="W26" s="8"/>
      <c r="X26" s="8"/>
      <c r="Y26" s="8">
        <f>((T26)+(U26))+(X26)</f>
        <v>1.84</v>
      </c>
    </row>
    <row r="27" spans="1:25" x14ac:dyDescent="0.3">
      <c r="A27" s="3" t="s">
        <v>97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>100</f>
        <v>100</v>
      </c>
      <c r="Q27" s="8"/>
      <c r="R27" s="8"/>
      <c r="S27" s="8">
        <f>208.4</f>
        <v>208.4</v>
      </c>
      <c r="T27" s="8">
        <f>(((((((((((B27)+(I27))+(J27))+(K27))+(L27))+(M27))+(N27))+(O27))+(P27))+(Q27))+(R27))+(S27)</f>
        <v>308.39999999999998</v>
      </c>
      <c r="U27" s="8">
        <f>1000</f>
        <v>1000</v>
      </c>
      <c r="V27" s="8"/>
      <c r="W27" s="8"/>
      <c r="X27" s="8"/>
      <c r="Y27" s="8">
        <f>((T27)+(U27))+(X27)</f>
        <v>1308.4000000000001</v>
      </c>
    </row>
    <row r="28" spans="1:25" x14ac:dyDescent="0.3">
      <c r="A28" s="3" t="s">
        <v>96</v>
      </c>
      <c r="B28" s="10">
        <f>((B25)+(B26))+(B27)</f>
        <v>0</v>
      </c>
      <c r="C28" s="10">
        <f>((C25)+(C26))+(C27)</f>
        <v>0</v>
      </c>
      <c r="D28" s="10">
        <f>((D25)+(D26))+(D27)</f>
        <v>0</v>
      </c>
      <c r="E28" s="10">
        <f>((E25)+(E26))+(E27)</f>
        <v>0</v>
      </c>
      <c r="F28" s="10">
        <f>((F25)+(F26))+(F27)</f>
        <v>0</v>
      </c>
      <c r="G28" s="10">
        <f>((G25)+(G26))+(G27)</f>
        <v>0</v>
      </c>
      <c r="H28" s="10">
        <f>((H25)+(H26))+(H27)</f>
        <v>0</v>
      </c>
      <c r="I28" s="10">
        <f>(((((C28)+(D28))+(E28))+(F28))+(G28))+(H28)</f>
        <v>0</v>
      </c>
      <c r="J28" s="10">
        <f>((J25)+(J26))+(J27)</f>
        <v>0</v>
      </c>
      <c r="K28" s="10">
        <f>((K25)+(K26))+(K27)</f>
        <v>0</v>
      </c>
      <c r="L28" s="10">
        <f>((L25)+(L26))+(L27)</f>
        <v>0</v>
      </c>
      <c r="M28" s="10">
        <f>((M25)+(M26))+(M27)</f>
        <v>0</v>
      </c>
      <c r="N28" s="10">
        <f>((N25)+(N26))+(N27)</f>
        <v>0</v>
      </c>
      <c r="O28" s="10">
        <f>((O25)+(O26))+(O27)</f>
        <v>0</v>
      </c>
      <c r="P28" s="10">
        <f>((P25)+(P26))+(P27)</f>
        <v>100</v>
      </c>
      <c r="Q28" s="10">
        <f>((Q25)+(Q26))+(Q27)</f>
        <v>0</v>
      </c>
      <c r="R28" s="10">
        <f>((R25)+(R26))+(R27)</f>
        <v>0</v>
      </c>
      <c r="S28" s="10">
        <f>((S25)+(S26))+(S27)</f>
        <v>208.4</v>
      </c>
      <c r="T28" s="10">
        <f>(((((((((((B28)+(I28))+(J28))+(K28))+(L28))+(M28))+(N28))+(O28))+(P28))+(Q28))+(R28))+(S28)</f>
        <v>308.39999999999998</v>
      </c>
      <c r="U28" s="10">
        <f>((U25)+(U26))+(U27)</f>
        <v>1001.84</v>
      </c>
      <c r="V28" s="10">
        <f>((V25)+(V26))+(V27)</f>
        <v>0</v>
      </c>
      <c r="W28" s="10">
        <f>((W25)+(W26))+(W27)</f>
        <v>0</v>
      </c>
      <c r="X28" s="10">
        <f>(V28)+(W28)</f>
        <v>0</v>
      </c>
      <c r="Y28" s="10">
        <f>((T28)+(U28))+(X28)</f>
        <v>1310.24</v>
      </c>
    </row>
    <row r="29" spans="1:25" x14ac:dyDescent="0.3">
      <c r="A29" s="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x14ac:dyDescent="0.3">
      <c r="A30" s="3" t="s">
        <v>95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x14ac:dyDescent="0.3">
      <c r="A31" s="3" t="s">
        <v>94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f>175</f>
        <v>175</v>
      </c>
      <c r="O31" s="8"/>
      <c r="P31" s="8"/>
      <c r="Q31" s="8"/>
      <c r="R31" s="8"/>
      <c r="S31" s="8">
        <f>527</f>
        <v>527</v>
      </c>
      <c r="T31" s="8">
        <f>(((((((((((B31)+(I31))+(J31))+(K31))+(L31))+(M31))+(N31))+(O31))+(P31))+(Q31))+(R31))+(S31)</f>
        <v>702</v>
      </c>
      <c r="U31" s="8"/>
      <c r="V31" s="8"/>
      <c r="W31" s="8"/>
      <c r="X31" s="8"/>
      <c r="Y31" s="8">
        <f>((T31)+(U31))+(X31)</f>
        <v>702</v>
      </c>
    </row>
    <row r="32" spans="1:25" x14ac:dyDescent="0.3">
      <c r="A32" s="3" t="s">
        <v>93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f>705</f>
        <v>705</v>
      </c>
      <c r="X32" s="8">
        <f>(V32)+(W32)</f>
        <v>705</v>
      </c>
      <c r="Y32" s="8">
        <f>((T32)+(U32))+(X32)</f>
        <v>705</v>
      </c>
    </row>
    <row r="33" spans="1:25" x14ac:dyDescent="0.3">
      <c r="A33" s="3" t="s">
        <v>92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f>-705</f>
        <v>-705</v>
      </c>
      <c r="X33" s="8">
        <f>(V33)+(W33)</f>
        <v>-705</v>
      </c>
      <c r="Y33" s="8">
        <f>((T33)+(U33))+(X33)</f>
        <v>-705</v>
      </c>
    </row>
    <row r="34" spans="1:25" x14ac:dyDescent="0.3">
      <c r="A34" s="3" t="s">
        <v>91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f>240</f>
        <v>240</v>
      </c>
      <c r="X34" s="8">
        <f>(V34)+(W34)</f>
        <v>240</v>
      </c>
      <c r="Y34" s="8">
        <f>((T34)+(U34))+(X34)</f>
        <v>240</v>
      </c>
    </row>
    <row r="35" spans="1:25" x14ac:dyDescent="0.3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x14ac:dyDescent="0.3">
      <c r="A36" s="3" t="s">
        <v>90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x14ac:dyDescent="0.3">
      <c r="A37" s="3" t="s">
        <v>89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f>-18</f>
        <v>-18</v>
      </c>
      <c r="X37" s="8">
        <f>(V37)+(W37)</f>
        <v>-18</v>
      </c>
      <c r="Y37" s="8">
        <f>((T37)+(U37))+(X37)</f>
        <v>-18</v>
      </c>
    </row>
    <row r="38" spans="1:25" x14ac:dyDescent="0.3">
      <c r="A38" s="3" t="s">
        <v>88</v>
      </c>
      <c r="B38" s="10">
        <f>(B36)+(B37)</f>
        <v>0</v>
      </c>
      <c r="C38" s="10">
        <f>(C36)+(C37)</f>
        <v>0</v>
      </c>
      <c r="D38" s="10">
        <f>(D36)+(D37)</f>
        <v>0</v>
      </c>
      <c r="E38" s="10">
        <f>(E36)+(E37)</f>
        <v>0</v>
      </c>
      <c r="F38" s="10">
        <f>(F36)+(F37)</f>
        <v>0</v>
      </c>
      <c r="G38" s="10">
        <f>(G36)+(G37)</f>
        <v>0</v>
      </c>
      <c r="H38" s="10">
        <f>(H36)+(H37)</f>
        <v>0</v>
      </c>
      <c r="I38" s="10">
        <f>(((((C38)+(D38))+(E38))+(F38))+(G38))+(H38)</f>
        <v>0</v>
      </c>
      <c r="J38" s="10">
        <f>(J36)+(J37)</f>
        <v>0</v>
      </c>
      <c r="K38" s="10">
        <f>(K36)+(K37)</f>
        <v>0</v>
      </c>
      <c r="L38" s="10">
        <f>(L36)+(L37)</f>
        <v>0</v>
      </c>
      <c r="M38" s="10">
        <f>(M36)+(M37)</f>
        <v>0</v>
      </c>
      <c r="N38" s="10">
        <f>(N36)+(N37)</f>
        <v>0</v>
      </c>
      <c r="O38" s="10">
        <f>(O36)+(O37)</f>
        <v>0</v>
      </c>
      <c r="P38" s="10">
        <f>(P36)+(P37)</f>
        <v>0</v>
      </c>
      <c r="Q38" s="10">
        <f>(Q36)+(Q37)</f>
        <v>0</v>
      </c>
      <c r="R38" s="10">
        <f>(R36)+(R37)</f>
        <v>0</v>
      </c>
      <c r="S38" s="10">
        <f>(S36)+(S37)</f>
        <v>0</v>
      </c>
      <c r="T38" s="10">
        <f>(((((((((((B38)+(I38))+(J38))+(K38))+(L38))+(M38))+(N38))+(O38))+(P38))+(Q38))+(R38))+(S38)</f>
        <v>0</v>
      </c>
      <c r="U38" s="10">
        <f>(U36)+(U37)</f>
        <v>0</v>
      </c>
      <c r="V38" s="10">
        <f>(V36)+(V37)</f>
        <v>0</v>
      </c>
      <c r="W38" s="10">
        <f>(W36)+(W37)</f>
        <v>-18</v>
      </c>
      <c r="X38" s="10">
        <f>(V38)+(W38)</f>
        <v>-18</v>
      </c>
      <c r="Y38" s="10">
        <f>((T38)+(U38))+(X38)</f>
        <v>-18</v>
      </c>
    </row>
    <row r="39" spans="1:25" x14ac:dyDescent="0.3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x14ac:dyDescent="0.3">
      <c r="A40" s="3" t="s">
        <v>87</v>
      </c>
      <c r="B40" s="10">
        <f>(((((B30)+(B31))+(B32))+(B33))+(B34))+(B38)</f>
        <v>0</v>
      </c>
      <c r="C40" s="10">
        <f>(((((C30)+(C31))+(C32))+(C33))+(C34))+(C38)</f>
        <v>0</v>
      </c>
      <c r="D40" s="10">
        <f>(((((D30)+(D31))+(D32))+(D33))+(D34))+(D38)</f>
        <v>0</v>
      </c>
      <c r="E40" s="10">
        <f>(((((E30)+(E31))+(E32))+(E33))+(E34))+(E38)</f>
        <v>0</v>
      </c>
      <c r="F40" s="10">
        <f>(((((F30)+(F31))+(F32))+(F33))+(F34))+(F38)</f>
        <v>0</v>
      </c>
      <c r="G40" s="10">
        <f>(((((G30)+(G31))+(G32))+(G33))+(G34))+(G38)</f>
        <v>0</v>
      </c>
      <c r="H40" s="10">
        <f>(((((H30)+(H31))+(H32))+(H33))+(H34))+(H38)</f>
        <v>0</v>
      </c>
      <c r="I40" s="10">
        <f>(((((C40)+(D40))+(E40))+(F40))+(G40))+(H40)</f>
        <v>0</v>
      </c>
      <c r="J40" s="10">
        <f>(((((J30)+(J31))+(J32))+(J33))+(J34))+(J38)</f>
        <v>0</v>
      </c>
      <c r="K40" s="10">
        <f>(((((K30)+(K31))+(K32))+(K33))+(K34))+(K38)</f>
        <v>0</v>
      </c>
      <c r="L40" s="10">
        <f>(((((L30)+(L31))+(L32))+(L33))+(L34))+(L38)</f>
        <v>0</v>
      </c>
      <c r="M40" s="10">
        <f>(((((M30)+(M31))+(M32))+(M33))+(M34))+(M38)</f>
        <v>0</v>
      </c>
      <c r="N40" s="10">
        <f>(((((N30)+(N31))+(N32))+(N33))+(N34))+(N38)</f>
        <v>175</v>
      </c>
      <c r="O40" s="10">
        <f>(((((O30)+(O31))+(O32))+(O33))+(O34))+(O38)</f>
        <v>0</v>
      </c>
      <c r="P40" s="10">
        <f>(((((P30)+(P31))+(P32))+(P33))+(P34))+(P38)</f>
        <v>0</v>
      </c>
      <c r="Q40" s="10">
        <f>(((((Q30)+(Q31))+(Q32))+(Q33))+(Q34))+(Q38)</f>
        <v>0</v>
      </c>
      <c r="R40" s="10">
        <f>(((((R30)+(R31))+(R32))+(R33))+(R34))+(R38)</f>
        <v>0</v>
      </c>
      <c r="S40" s="10">
        <f>(((((S30)+(S31))+(S32))+(S33))+(S34))+(S38)</f>
        <v>527</v>
      </c>
      <c r="T40" s="10">
        <f>(((((((((((B40)+(I40))+(J40))+(K40))+(L40))+(M40))+(N40))+(O40))+(P40))+(Q40))+(R40))+(S40)</f>
        <v>702</v>
      </c>
      <c r="U40" s="10">
        <f>(((((U30)+(U31))+(U32))+(U33))+(U34))+(U38)</f>
        <v>0</v>
      </c>
      <c r="V40" s="10">
        <f>(((((V30)+(V31))+(V32))+(V33))+(V34))+(V38)</f>
        <v>0</v>
      </c>
      <c r="W40" s="10">
        <f>(((((W30)+(W31))+(W32))+(W33))+(W34))+(W38)</f>
        <v>222</v>
      </c>
      <c r="X40" s="10">
        <f>(V40)+(W40)</f>
        <v>222</v>
      </c>
      <c r="Y40" s="10">
        <f>((T40)+(U40))+(X40)</f>
        <v>924</v>
      </c>
    </row>
    <row r="41" spans="1:25" x14ac:dyDescent="0.3">
      <c r="A41" s="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idden="1" x14ac:dyDescent="0.3">
      <c r="A42" s="3" t="s">
        <v>86</v>
      </c>
      <c r="B42" s="10">
        <f>((((B12)+(B16))+(B24))+(B28))+(B40)</f>
        <v>0</v>
      </c>
      <c r="C42" s="10">
        <f>((((C12)+(C16))+(C24))+(C28))+(C40)</f>
        <v>0</v>
      </c>
      <c r="D42" s="10">
        <f>((((D12)+(D16))+(D24))+(D28))+(D40)</f>
        <v>0</v>
      </c>
      <c r="E42" s="10">
        <f>((((E12)+(E16))+(E24))+(E28))+(E40)</f>
        <v>0</v>
      </c>
      <c r="F42" s="10">
        <f>((((F12)+(F16))+(F24))+(F28))+(F40)</f>
        <v>0</v>
      </c>
      <c r="G42" s="10">
        <f>((((G12)+(G16))+(G24))+(G28))+(G40)</f>
        <v>655.34</v>
      </c>
      <c r="H42" s="10">
        <f>((((H12)+(H16))+(H24))+(H28))+(H40)</f>
        <v>1064.97</v>
      </c>
      <c r="I42" s="10">
        <f>(((((C42)+(D42))+(E42))+(F42))+(G42))+(H42)</f>
        <v>1720.31</v>
      </c>
      <c r="J42" s="10">
        <f>((((J12)+(J16))+(J24))+(J28))+(J40)</f>
        <v>24547</v>
      </c>
      <c r="K42" s="10">
        <f>((((K12)+(K16))+(K24))+(K28))+(K40)</f>
        <v>4545</v>
      </c>
      <c r="L42" s="10">
        <f>((((L12)+(L16))+(L24))+(L28))+(L40)</f>
        <v>3970</v>
      </c>
      <c r="M42" s="10">
        <f>((((M12)+(M16))+(M24))+(M28))+(M40)</f>
        <v>3750</v>
      </c>
      <c r="N42" s="10">
        <f>((((N12)+(N16))+(N24))+(N28))+(N40)</f>
        <v>1596</v>
      </c>
      <c r="O42" s="10">
        <f>((((O12)+(O16))+(O24))+(O28))+(O40)</f>
        <v>5892</v>
      </c>
      <c r="P42" s="10">
        <f>((((P12)+(P16))+(P24))+(P28))+(P40)</f>
        <v>25064.579999999998</v>
      </c>
      <c r="Q42" s="10">
        <f>((((Q12)+(Q16))+(Q24))+(Q28))+(Q40)</f>
        <v>3083</v>
      </c>
      <c r="R42" s="10">
        <f>((((R12)+(R16))+(R24))+(R28))+(R40)</f>
        <v>765</v>
      </c>
      <c r="S42" s="10">
        <f>((((S12)+(S16))+(S24))+(S28))+(S40)</f>
        <v>51939.9</v>
      </c>
      <c r="T42" s="10">
        <f>(((((((((((B42)+(I42))+(J42))+(K42))+(L42))+(M42))+(N42))+(O42))+(P42))+(Q42))+(R42))+(S42)</f>
        <v>126872.79000000001</v>
      </c>
      <c r="U42" s="10">
        <f>((((U12)+(U16))+(U24))+(U28))+(U40)</f>
        <v>1744.99</v>
      </c>
      <c r="V42" s="10">
        <f>((((V12)+(V16))+(V24))+(V28))+(V40)</f>
        <v>0</v>
      </c>
      <c r="W42" s="10">
        <f>((((W12)+(W16))+(W24))+(W28))+(W40)</f>
        <v>222</v>
      </c>
      <c r="X42" s="10">
        <f>(V42)+(W42)</f>
        <v>222</v>
      </c>
      <c r="Y42" s="10">
        <f>((T42)+(U42))+(X42)</f>
        <v>128839.78000000001</v>
      </c>
    </row>
    <row r="43" spans="1:25" hidden="1" x14ac:dyDescent="0.3">
      <c r="A43" s="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x14ac:dyDescent="0.3">
      <c r="A44" s="3" t="s">
        <v>85</v>
      </c>
      <c r="B44" s="10">
        <f>(B42)-(0)</f>
        <v>0</v>
      </c>
      <c r="C44" s="10">
        <f>(C42)-(0)</f>
        <v>0</v>
      </c>
      <c r="D44" s="10">
        <f>(D42)-(0)</f>
        <v>0</v>
      </c>
      <c r="E44" s="10">
        <f>(E42)-(0)</f>
        <v>0</v>
      </c>
      <c r="F44" s="10">
        <f>(F42)-(0)</f>
        <v>0</v>
      </c>
      <c r="G44" s="10">
        <f>(G42)-(0)</f>
        <v>655.34</v>
      </c>
      <c r="H44" s="10">
        <f>(H42)-(0)</f>
        <v>1064.97</v>
      </c>
      <c r="I44" s="10">
        <f>(((((C44)+(D44))+(E44))+(F44))+(G44))+(H44)</f>
        <v>1720.31</v>
      </c>
      <c r="J44" s="10">
        <f>(J42)-(0)</f>
        <v>24547</v>
      </c>
      <c r="K44" s="10">
        <f>(K42)-(0)</f>
        <v>4545</v>
      </c>
      <c r="L44" s="10">
        <f>(L42)-(0)</f>
        <v>3970</v>
      </c>
      <c r="M44" s="10">
        <f>(M42)-(0)</f>
        <v>3750</v>
      </c>
      <c r="N44" s="10">
        <f>(N42)-(0)</f>
        <v>1596</v>
      </c>
      <c r="O44" s="10">
        <f>(O42)-(0)</f>
        <v>5892</v>
      </c>
      <c r="P44" s="10">
        <f>(P42)-(0)</f>
        <v>25064.579999999998</v>
      </c>
      <c r="Q44" s="10">
        <f>(Q42)-(0)</f>
        <v>3083</v>
      </c>
      <c r="R44" s="10">
        <f>(R42)-(0)</f>
        <v>765</v>
      </c>
      <c r="S44" s="10">
        <f>(S42)-(0)</f>
        <v>51939.9</v>
      </c>
      <c r="T44" s="10">
        <f>(((((((((((B44)+(I44))+(J44))+(K44))+(L44))+(M44))+(N44))+(O44))+(P44))+(Q44))+(R44))+(S44)</f>
        <v>126872.79000000001</v>
      </c>
      <c r="U44" s="10">
        <f>(U42)-(0)</f>
        <v>1744.99</v>
      </c>
      <c r="V44" s="10">
        <f>(V42)-(0)</f>
        <v>0</v>
      </c>
      <c r="W44" s="10">
        <f>(W42)-(0)</f>
        <v>222</v>
      </c>
      <c r="X44" s="10">
        <f>(V44)+(W44)</f>
        <v>222</v>
      </c>
      <c r="Y44" s="10">
        <f>((T44)+(U44))+(X44)</f>
        <v>128839.78000000001</v>
      </c>
    </row>
    <row r="45" spans="1:25" x14ac:dyDescent="0.3">
      <c r="A45" s="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x14ac:dyDescent="0.3">
      <c r="A46" s="3" t="s">
        <v>84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x14ac:dyDescent="0.3">
      <c r="A47" s="3" t="s">
        <v>83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x14ac:dyDescent="0.3">
      <c r="A48" s="3" t="s">
        <v>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f>26030</f>
        <v>26030</v>
      </c>
      <c r="T48" s="8">
        <f>(((((((((((B48)+(I48))+(J48))+(K48))+(L48))+(M48))+(N48))+(O48))+(P48))+(Q48))+(R48))+(S48)</f>
        <v>26030</v>
      </c>
      <c r="U48" s="8">
        <f>7870</f>
        <v>7870</v>
      </c>
      <c r="V48" s="8">
        <f>2800</f>
        <v>2800</v>
      </c>
      <c r="W48" s="8"/>
      <c r="X48" s="8">
        <f>(V48)+(W48)</f>
        <v>2800</v>
      </c>
      <c r="Y48" s="8">
        <f>((T48)+(U48))+(X48)</f>
        <v>36700</v>
      </c>
    </row>
    <row r="49" spans="1:25" x14ac:dyDescent="0.3">
      <c r="A49" s="3" t="s">
        <v>81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f>1991.3</f>
        <v>1991.3</v>
      </c>
      <c r="T49" s="8">
        <f>(((((((((((B49)+(I49))+(J49))+(K49))+(L49))+(M49))+(N49))+(O49))+(P49))+(Q49))+(R49))+(S49)</f>
        <v>1991.3</v>
      </c>
      <c r="U49" s="8">
        <f>602.06</f>
        <v>602.05999999999995</v>
      </c>
      <c r="V49" s="8">
        <f>214.19</f>
        <v>214.19</v>
      </c>
      <c r="W49" s="8"/>
      <c r="X49" s="8">
        <f>(V49)+(W49)</f>
        <v>214.19</v>
      </c>
      <c r="Y49" s="8">
        <f>((T49)+(U49))+(X49)</f>
        <v>2807.5499999999997</v>
      </c>
    </row>
    <row r="50" spans="1:25" x14ac:dyDescent="0.3">
      <c r="A50" s="3" t="s">
        <v>80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f>669.04</f>
        <v>669.04</v>
      </c>
      <c r="V50" s="8"/>
      <c r="W50" s="8"/>
      <c r="X50" s="8"/>
      <c r="Y50" s="8">
        <f>((T50)+(U50))+(X50)</f>
        <v>669.04</v>
      </c>
    </row>
    <row r="51" spans="1:25" x14ac:dyDescent="0.3">
      <c r="A51" s="3" t="s">
        <v>79</v>
      </c>
      <c r="B51" s="10">
        <f>(((B47)+(B48))+(B49))+(B50)</f>
        <v>0</v>
      </c>
      <c r="C51" s="10">
        <f>(((C47)+(C48))+(C49))+(C50)</f>
        <v>0</v>
      </c>
      <c r="D51" s="10">
        <f>(((D47)+(D48))+(D49))+(D50)</f>
        <v>0</v>
      </c>
      <c r="E51" s="10">
        <f>(((E47)+(E48))+(E49))+(E50)</f>
        <v>0</v>
      </c>
      <c r="F51" s="10">
        <f>(((F47)+(F48))+(F49))+(F50)</f>
        <v>0</v>
      </c>
      <c r="G51" s="10">
        <f>(((G47)+(G48))+(G49))+(G50)</f>
        <v>0</v>
      </c>
      <c r="H51" s="10">
        <f>(((H47)+(H48))+(H49))+(H50)</f>
        <v>0</v>
      </c>
      <c r="I51" s="10">
        <f>(((((C51)+(D51))+(E51))+(F51))+(G51))+(H51)</f>
        <v>0</v>
      </c>
      <c r="J51" s="10">
        <f>(((J47)+(J48))+(J49))+(J50)</f>
        <v>0</v>
      </c>
      <c r="K51" s="10">
        <f>(((K47)+(K48))+(K49))+(K50)</f>
        <v>0</v>
      </c>
      <c r="L51" s="10">
        <f>(((L47)+(L48))+(L49))+(L50)</f>
        <v>0</v>
      </c>
      <c r="M51" s="10">
        <f>(((M47)+(M48))+(M49))+(M50)</f>
        <v>0</v>
      </c>
      <c r="N51" s="10">
        <f>(((N47)+(N48))+(N49))+(N50)</f>
        <v>0</v>
      </c>
      <c r="O51" s="10">
        <f>(((O47)+(O48))+(O49))+(O50)</f>
        <v>0</v>
      </c>
      <c r="P51" s="10">
        <f>(((P47)+(P48))+(P49))+(P50)</f>
        <v>0</v>
      </c>
      <c r="Q51" s="10">
        <f>(((Q47)+(Q48))+(Q49))+(Q50)</f>
        <v>0</v>
      </c>
      <c r="R51" s="10">
        <f>(((R47)+(R48))+(R49))+(R50)</f>
        <v>0</v>
      </c>
      <c r="S51" s="10">
        <f>(((S47)+(S48))+(S49))+(S50)</f>
        <v>28021.3</v>
      </c>
      <c r="T51" s="10">
        <f>(((((((((((B51)+(I51))+(J51))+(K51))+(L51))+(M51))+(N51))+(O51))+(P51))+(Q51))+(R51))+(S51)</f>
        <v>28021.3</v>
      </c>
      <c r="U51" s="10">
        <f>(((U47)+(U48))+(U49))+(U50)</f>
        <v>9141.0999999999985</v>
      </c>
      <c r="V51" s="10">
        <f>(((V47)+(V48))+(V49))+(V50)</f>
        <v>3014.19</v>
      </c>
      <c r="W51" s="10">
        <f>(((W47)+(W48))+(W49))+(W50)</f>
        <v>0</v>
      </c>
      <c r="X51" s="10">
        <f>(V51)+(W51)</f>
        <v>3014.19</v>
      </c>
      <c r="Y51" s="10">
        <f>((T51)+(U51))+(X51)</f>
        <v>40176.589999999997</v>
      </c>
    </row>
    <row r="52" spans="1:25" x14ac:dyDescent="0.3">
      <c r="A52" s="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x14ac:dyDescent="0.3">
      <c r="A53" s="3" t="s">
        <v>78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3">
      <c r="A54" s="3" t="s">
        <v>77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>
        <f>4443.29</f>
        <v>4443.29</v>
      </c>
      <c r="V54" s="8"/>
      <c r="W54" s="8"/>
      <c r="X54" s="8"/>
      <c r="Y54" s="8">
        <f>((T54)+(U54))+(X54)</f>
        <v>4443.29</v>
      </c>
    </row>
    <row r="55" spans="1:25" x14ac:dyDescent="0.3">
      <c r="A55" s="3" t="s">
        <v>76</v>
      </c>
      <c r="B55" s="8"/>
      <c r="C55" s="8"/>
      <c r="D55" s="8"/>
      <c r="E55" s="8">
        <f>100</f>
        <v>100</v>
      </c>
      <c r="F55" s="8"/>
      <c r="G55" s="8"/>
      <c r="H55" s="8"/>
      <c r="I55" s="8">
        <f>(((((C55)+(D55))+(E55))+(F55))+(G55))+(H55)</f>
        <v>100</v>
      </c>
      <c r="J55" s="8"/>
      <c r="K55" s="8"/>
      <c r="L55" s="8"/>
      <c r="M55" s="8"/>
      <c r="N55" s="8"/>
      <c r="O55" s="8"/>
      <c r="P55" s="8"/>
      <c r="Q55" s="8"/>
      <c r="R55" s="8"/>
      <c r="S55" s="8">
        <f>3600</f>
        <v>3600</v>
      </c>
      <c r="T55" s="8">
        <f>(((((((((((B55)+(I55))+(J55))+(K55))+(L55))+(M55))+(N55))+(O55))+(P55))+(Q55))+(R55))+(S55)</f>
        <v>3700</v>
      </c>
      <c r="U55" s="8"/>
      <c r="V55" s="8"/>
      <c r="W55" s="8"/>
      <c r="X55" s="8"/>
      <c r="Y55" s="8">
        <f>((T55)+(U55))+(X55)</f>
        <v>3700</v>
      </c>
    </row>
    <row r="56" spans="1:25" x14ac:dyDescent="0.3">
      <c r="A56" s="3" t="s">
        <v>75</v>
      </c>
      <c r="B56" s="8"/>
      <c r="C56" s="8"/>
      <c r="D56" s="8">
        <f>212.5</f>
        <v>212.5</v>
      </c>
      <c r="E56" s="8">
        <f>3008</f>
        <v>3008</v>
      </c>
      <c r="F56" s="8"/>
      <c r="G56" s="8"/>
      <c r="H56" s="8">
        <f>300</f>
        <v>300</v>
      </c>
      <c r="I56" s="8">
        <f>(((((C56)+(D56))+(E56))+(F56))+(G56))+(H56)</f>
        <v>3520.5</v>
      </c>
      <c r="J56" s="8">
        <f>1947.5</f>
        <v>1947.5</v>
      </c>
      <c r="K56" s="8">
        <f>422.5</f>
        <v>422.5</v>
      </c>
      <c r="L56" s="8">
        <f>45</f>
        <v>45</v>
      </c>
      <c r="M56" s="8">
        <f>472.5</f>
        <v>472.5</v>
      </c>
      <c r="N56" s="8">
        <f>260</f>
        <v>260</v>
      </c>
      <c r="O56" s="8"/>
      <c r="P56" s="8">
        <f>7355</f>
        <v>7355</v>
      </c>
      <c r="Q56" s="8">
        <f>740</f>
        <v>740</v>
      </c>
      <c r="R56" s="8">
        <f>135</f>
        <v>135</v>
      </c>
      <c r="S56" s="8">
        <f>9077.5</f>
        <v>9077.5</v>
      </c>
      <c r="T56" s="8">
        <f>(((((((((((B56)+(I56))+(J56))+(K56))+(L56))+(M56))+(N56))+(O56))+(P56))+(Q56))+(R56))+(S56)</f>
        <v>23975.5</v>
      </c>
      <c r="U56" s="8">
        <f>200</f>
        <v>200</v>
      </c>
      <c r="V56" s="8"/>
      <c r="W56" s="8"/>
      <c r="X56" s="8"/>
      <c r="Y56" s="8">
        <f>((T56)+(U56))+(X56)</f>
        <v>24175.5</v>
      </c>
    </row>
    <row r="57" spans="1:25" x14ac:dyDescent="0.3">
      <c r="A57" s="3" t="s">
        <v>74</v>
      </c>
      <c r="B57" s="10">
        <f>(((B53)+(B54))+(B55))+(B56)</f>
        <v>0</v>
      </c>
      <c r="C57" s="10">
        <f>(((C53)+(C54))+(C55))+(C56)</f>
        <v>0</v>
      </c>
      <c r="D57" s="10">
        <f>(((D53)+(D54))+(D55))+(D56)</f>
        <v>212.5</v>
      </c>
      <c r="E57" s="10">
        <f>(((E53)+(E54))+(E55))+(E56)</f>
        <v>3108</v>
      </c>
      <c r="F57" s="10">
        <f>(((F53)+(F54))+(F55))+(F56)</f>
        <v>0</v>
      </c>
      <c r="G57" s="10">
        <f>(((G53)+(G54))+(G55))+(G56)</f>
        <v>0</v>
      </c>
      <c r="H57" s="10">
        <f>(((H53)+(H54))+(H55))+(H56)</f>
        <v>300</v>
      </c>
      <c r="I57" s="10">
        <f>(((((C57)+(D57))+(E57))+(F57))+(G57))+(H57)</f>
        <v>3620.5</v>
      </c>
      <c r="J57" s="10">
        <f>(((J53)+(J54))+(J55))+(J56)</f>
        <v>1947.5</v>
      </c>
      <c r="K57" s="10">
        <f>(((K53)+(K54))+(K55))+(K56)</f>
        <v>422.5</v>
      </c>
      <c r="L57" s="10">
        <f>(((L53)+(L54))+(L55))+(L56)</f>
        <v>45</v>
      </c>
      <c r="M57" s="10">
        <f>(((M53)+(M54))+(M55))+(M56)</f>
        <v>472.5</v>
      </c>
      <c r="N57" s="10">
        <f>(((N53)+(N54))+(N55))+(N56)</f>
        <v>260</v>
      </c>
      <c r="O57" s="10">
        <f>(((O53)+(O54))+(O55))+(O56)</f>
        <v>0</v>
      </c>
      <c r="P57" s="10">
        <f>(((P53)+(P54))+(P55))+(P56)</f>
        <v>7355</v>
      </c>
      <c r="Q57" s="10">
        <f>(((Q53)+(Q54))+(Q55))+(Q56)</f>
        <v>740</v>
      </c>
      <c r="R57" s="10">
        <f>(((R53)+(R54))+(R55))+(R56)</f>
        <v>135</v>
      </c>
      <c r="S57" s="10">
        <f>(((S53)+(S54))+(S55))+(S56)</f>
        <v>12677.5</v>
      </c>
      <c r="T57" s="10">
        <f>(((((((((((B57)+(I57))+(J57))+(K57))+(L57))+(M57))+(N57))+(O57))+(P57))+(Q57))+(R57))+(S57)</f>
        <v>27675.5</v>
      </c>
      <c r="U57" s="10">
        <f>(((U53)+(U54))+(U55))+(U56)</f>
        <v>4643.29</v>
      </c>
      <c r="V57" s="10">
        <f>(((V53)+(V54))+(V55))+(V56)</f>
        <v>0</v>
      </c>
      <c r="W57" s="10">
        <f>(((W53)+(W54))+(W55))+(W56)</f>
        <v>0</v>
      </c>
      <c r="X57" s="10">
        <f>(V57)+(W57)</f>
        <v>0</v>
      </c>
      <c r="Y57" s="10">
        <f>((T57)+(U57))+(X57)</f>
        <v>32318.79</v>
      </c>
    </row>
    <row r="58" spans="1:25" x14ac:dyDescent="0.3">
      <c r="A58" s="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x14ac:dyDescent="0.3">
      <c r="A59" s="3" t="s">
        <v>73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x14ac:dyDescent="0.3">
      <c r="A60" s="3" t="s">
        <v>72</v>
      </c>
      <c r="B60" s="8"/>
      <c r="C60" s="8"/>
      <c r="D60" s="8"/>
      <c r="E60" s="8">
        <f>24.06</f>
        <v>24.06</v>
      </c>
      <c r="F60" s="8"/>
      <c r="G60" s="8"/>
      <c r="H60" s="8"/>
      <c r="I60" s="8">
        <f>(((((C60)+(D60))+(E60))+(F60))+(G60))+(H60)</f>
        <v>24.06</v>
      </c>
      <c r="J60" s="8"/>
      <c r="K60" s="8"/>
      <c r="L60" s="8">
        <f>104.77</f>
        <v>104.77</v>
      </c>
      <c r="M60" s="8"/>
      <c r="N60" s="8"/>
      <c r="O60" s="8"/>
      <c r="P60" s="8"/>
      <c r="Q60" s="8"/>
      <c r="R60" s="8"/>
      <c r="S60" s="8">
        <f>1599.86</f>
        <v>1599.86</v>
      </c>
      <c r="T60" s="8">
        <f>(((((((((((B60)+(I60))+(J60))+(K60))+(L60))+(M60))+(N60))+(O60))+(P60))+(Q60))+(R60))+(S60)</f>
        <v>1728.6899999999998</v>
      </c>
      <c r="U60" s="8"/>
      <c r="V60" s="8"/>
      <c r="W60" s="8"/>
      <c r="X60" s="8"/>
      <c r="Y60" s="8">
        <f>((T60)+(U60))+(X60)</f>
        <v>1728.6899999999998</v>
      </c>
    </row>
    <row r="61" spans="1:25" x14ac:dyDescent="0.3">
      <c r="A61" s="3" t="s">
        <v>71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f>192.76</f>
        <v>192.76</v>
      </c>
      <c r="Q61" s="8"/>
      <c r="R61" s="8"/>
      <c r="S61" s="8">
        <f>46.13</f>
        <v>46.13</v>
      </c>
      <c r="T61" s="8">
        <f>(((((((((((B61)+(I61))+(J61))+(K61))+(L61))+(M61))+(N61))+(O61))+(P61))+(Q61))+(R61))+(S61)</f>
        <v>238.89</v>
      </c>
      <c r="U61" s="8"/>
      <c r="V61" s="8"/>
      <c r="W61" s="8"/>
      <c r="X61" s="8"/>
      <c r="Y61" s="8">
        <f>((T61)+(U61))+(X61)</f>
        <v>238.89</v>
      </c>
    </row>
    <row r="62" spans="1:25" x14ac:dyDescent="0.3">
      <c r="A62" s="3" t="s">
        <v>70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>
        <f>59.99</f>
        <v>59.99</v>
      </c>
      <c r="M62" s="8"/>
      <c r="N62" s="8"/>
      <c r="O62" s="8"/>
      <c r="P62" s="8"/>
      <c r="Q62" s="8"/>
      <c r="R62" s="8"/>
      <c r="S62" s="8">
        <f>49.16</f>
        <v>49.16</v>
      </c>
      <c r="T62" s="8">
        <f>(((((((((((B62)+(I62))+(J62))+(K62))+(L62))+(M62))+(N62))+(O62))+(P62))+(Q62))+(R62))+(S62)</f>
        <v>109.15</v>
      </c>
      <c r="U62" s="8"/>
      <c r="V62" s="8"/>
      <c r="W62" s="8"/>
      <c r="X62" s="8"/>
      <c r="Y62" s="8">
        <f>((T62)+(U62))+(X62)</f>
        <v>109.15</v>
      </c>
    </row>
    <row r="63" spans="1:25" x14ac:dyDescent="0.3">
      <c r="A63" s="3" t="s">
        <v>69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f>5643.95</f>
        <v>5643.95</v>
      </c>
      <c r="Q63" s="8">
        <f>390</f>
        <v>390</v>
      </c>
      <c r="R63" s="8"/>
      <c r="S63" s="8"/>
      <c r="T63" s="8">
        <f>(((((((((((B63)+(I63))+(J63))+(K63))+(L63))+(M63))+(N63))+(O63))+(P63))+(Q63))+(R63))+(S63)</f>
        <v>6033.95</v>
      </c>
      <c r="U63" s="8"/>
      <c r="V63" s="8"/>
      <c r="W63" s="8"/>
      <c r="X63" s="8"/>
      <c r="Y63" s="8">
        <f>((T63)+(U63))+(X63)</f>
        <v>6033.95</v>
      </c>
    </row>
    <row r="64" spans="1:25" x14ac:dyDescent="0.3">
      <c r="A64" s="3" t="s">
        <v>68</v>
      </c>
      <c r="B64" s="8"/>
      <c r="C64" s="8"/>
      <c r="D64" s="8"/>
      <c r="E64" s="8"/>
      <c r="F64" s="8"/>
      <c r="G64" s="8"/>
      <c r="H64" s="8">
        <f>220</f>
        <v>220</v>
      </c>
      <c r="I64" s="8">
        <f>(((((C64)+(D64))+(E64))+(F64))+(G64))+(H64)</f>
        <v>220</v>
      </c>
      <c r="J64" s="8"/>
      <c r="K64" s="8"/>
      <c r="L64" s="8"/>
      <c r="M64" s="8"/>
      <c r="N64" s="8"/>
      <c r="O64" s="8"/>
      <c r="P64" s="8">
        <f>195.29</f>
        <v>195.29</v>
      </c>
      <c r="Q64" s="8"/>
      <c r="R64" s="8"/>
      <c r="S64" s="8">
        <f>371.37</f>
        <v>371.37</v>
      </c>
      <c r="T64" s="8">
        <f>(((((((((((B64)+(I64))+(J64))+(K64))+(L64))+(M64))+(N64))+(O64))+(P64))+(Q64))+(R64))+(S64)</f>
        <v>786.66</v>
      </c>
      <c r="U64" s="8"/>
      <c r="V64" s="8"/>
      <c r="W64" s="8"/>
      <c r="X64" s="8"/>
      <c r="Y64" s="8">
        <f>((T64)+(U64))+(X64)</f>
        <v>786.66</v>
      </c>
    </row>
    <row r="65" spans="1:25" x14ac:dyDescent="0.3">
      <c r="A65" s="3" t="s">
        <v>67</v>
      </c>
      <c r="B65" s="8"/>
      <c r="C65" s="8"/>
      <c r="D65" s="8"/>
      <c r="E65" s="8"/>
      <c r="F65" s="8">
        <f>130</f>
        <v>130</v>
      </c>
      <c r="G65" s="8"/>
      <c r="H65" s="8"/>
      <c r="I65" s="8">
        <f>(((((C65)+(D65))+(E65))+(F65))+(G65))+(H65)</f>
        <v>130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f>(((((((((((B65)+(I65))+(J65))+(K65))+(L65))+(M65))+(N65))+(O65))+(P65))+(Q65))+(R65))+(S65)</f>
        <v>130</v>
      </c>
      <c r="U65" s="8">
        <f>872.85</f>
        <v>872.85</v>
      </c>
      <c r="V65" s="8"/>
      <c r="W65" s="8"/>
      <c r="X65" s="8"/>
      <c r="Y65" s="8">
        <f>((T65)+(U65))+(X65)</f>
        <v>1002.85</v>
      </c>
    </row>
    <row r="66" spans="1:25" x14ac:dyDescent="0.3">
      <c r="A66" s="3" t="s">
        <v>66</v>
      </c>
      <c r="B66" s="10">
        <f>((((((B59)+(B60))+(B61))+(B62))+(B63))+(B64))+(B65)</f>
        <v>0</v>
      </c>
      <c r="C66" s="10">
        <f>((((((C59)+(C60))+(C61))+(C62))+(C63))+(C64))+(C65)</f>
        <v>0</v>
      </c>
      <c r="D66" s="10">
        <f>((((((D59)+(D60))+(D61))+(D62))+(D63))+(D64))+(D65)</f>
        <v>0</v>
      </c>
      <c r="E66" s="10">
        <f>((((((E59)+(E60))+(E61))+(E62))+(E63))+(E64))+(E65)</f>
        <v>24.06</v>
      </c>
      <c r="F66" s="10">
        <f>((((((F59)+(F60))+(F61))+(F62))+(F63))+(F64))+(F65)</f>
        <v>130</v>
      </c>
      <c r="G66" s="10">
        <f>((((((G59)+(G60))+(G61))+(G62))+(G63))+(G64))+(G65)</f>
        <v>0</v>
      </c>
      <c r="H66" s="10">
        <f>((((((H59)+(H60))+(H61))+(H62))+(H63))+(H64))+(H65)</f>
        <v>220</v>
      </c>
      <c r="I66" s="10">
        <f>(((((C66)+(D66))+(E66))+(F66))+(G66))+(H66)</f>
        <v>374.06</v>
      </c>
      <c r="J66" s="10">
        <f>((((((J59)+(J60))+(J61))+(J62))+(J63))+(J64))+(J65)</f>
        <v>0</v>
      </c>
      <c r="K66" s="10">
        <f>((((((K59)+(K60))+(K61))+(K62))+(K63))+(K64))+(K65)</f>
        <v>0</v>
      </c>
      <c r="L66" s="10">
        <f>((((((L59)+(L60))+(L61))+(L62))+(L63))+(L64))+(L65)</f>
        <v>164.76</v>
      </c>
      <c r="M66" s="10">
        <f>((((((M59)+(M60))+(M61))+(M62))+(M63))+(M64))+(M65)</f>
        <v>0</v>
      </c>
      <c r="N66" s="10">
        <f>((((((N59)+(N60))+(N61))+(N62))+(N63))+(N64))+(N65)</f>
        <v>0</v>
      </c>
      <c r="O66" s="10">
        <f>((((((O59)+(O60))+(O61))+(O62))+(O63))+(O64))+(O65)</f>
        <v>0</v>
      </c>
      <c r="P66" s="10">
        <f>((((((P59)+(P60))+(P61))+(P62))+(P63))+(P64))+(P65)</f>
        <v>6032</v>
      </c>
      <c r="Q66" s="10">
        <f>((((((Q59)+(Q60))+(Q61))+(Q62))+(Q63))+(Q64))+(Q65)</f>
        <v>390</v>
      </c>
      <c r="R66" s="10">
        <f>((((((R59)+(R60))+(R61))+(R62))+(R63))+(R64))+(R65)</f>
        <v>0</v>
      </c>
      <c r="S66" s="10">
        <f>((((((S59)+(S60))+(S61))+(S62))+(S63))+(S64))+(S65)</f>
        <v>2066.52</v>
      </c>
      <c r="T66" s="10">
        <f>(((((((((((B66)+(I66))+(J66))+(K66))+(L66))+(M66))+(N66))+(O66))+(P66))+(Q66))+(R66))+(S66)</f>
        <v>9027.34</v>
      </c>
      <c r="U66" s="10">
        <f>((((((U59)+(U60))+(U61))+(U62))+(U63))+(U64))+(U65)</f>
        <v>872.85</v>
      </c>
      <c r="V66" s="10">
        <f>((((((V59)+(V60))+(V61))+(V62))+(V63))+(V64))+(V65)</f>
        <v>0</v>
      </c>
      <c r="W66" s="10">
        <f>((((((W59)+(W60))+(W61))+(W62))+(W63))+(W64))+(W65)</f>
        <v>0</v>
      </c>
      <c r="X66" s="10">
        <f>(V66)+(W66)</f>
        <v>0</v>
      </c>
      <c r="Y66" s="10">
        <f>((T66)+(U66))+(X66)</f>
        <v>9900.19</v>
      </c>
    </row>
    <row r="67" spans="1:25" x14ac:dyDescent="0.3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x14ac:dyDescent="0.3">
      <c r="A68" s="3" t="s">
        <v>65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x14ac:dyDescent="0.3">
      <c r="A69" s="3" t="s">
        <v>64</v>
      </c>
      <c r="B69" s="8"/>
      <c r="C69" s="8"/>
      <c r="D69" s="8"/>
      <c r="E69" s="8"/>
      <c r="F69" s="8"/>
      <c r="G69" s="8">
        <f>500</f>
        <v>500</v>
      </c>
      <c r="H69" s="8"/>
      <c r="I69" s="8">
        <f>(((((C69)+(D69))+(E69))+(F69))+(G69))+(H69)</f>
        <v>500</v>
      </c>
      <c r="J69" s="8"/>
      <c r="K69" s="8">
        <f>500</f>
        <v>500</v>
      </c>
      <c r="L69" s="8"/>
      <c r="M69" s="8"/>
      <c r="N69" s="8"/>
      <c r="O69" s="8"/>
      <c r="P69" s="8"/>
      <c r="Q69" s="8"/>
      <c r="R69" s="8"/>
      <c r="S69" s="8">
        <f>1336</f>
        <v>1336</v>
      </c>
      <c r="T69" s="8">
        <f>(((((((((((B69)+(I69))+(J69))+(K69))+(L69))+(M69))+(N69))+(O69))+(P69))+(Q69))+(R69))+(S69)</f>
        <v>2336</v>
      </c>
      <c r="U69" s="8">
        <f>14700</f>
        <v>14700</v>
      </c>
      <c r="V69" s="8"/>
      <c r="W69" s="8"/>
      <c r="X69" s="8"/>
      <c r="Y69" s="8">
        <f>((T69)+(U69))+(X69)</f>
        <v>17036</v>
      </c>
    </row>
    <row r="70" spans="1:25" x14ac:dyDescent="0.3">
      <c r="A70" s="3" t="s">
        <v>63</v>
      </c>
      <c r="B70" s="10">
        <f>(B68)+(B69)</f>
        <v>0</v>
      </c>
      <c r="C70" s="10">
        <f>(C68)+(C69)</f>
        <v>0</v>
      </c>
      <c r="D70" s="10">
        <f>(D68)+(D69)</f>
        <v>0</v>
      </c>
      <c r="E70" s="10">
        <f>(E68)+(E69)</f>
        <v>0</v>
      </c>
      <c r="F70" s="10">
        <f>(F68)+(F69)</f>
        <v>0</v>
      </c>
      <c r="G70" s="10">
        <f>(G68)+(G69)</f>
        <v>500</v>
      </c>
      <c r="H70" s="10">
        <f>(H68)+(H69)</f>
        <v>0</v>
      </c>
      <c r="I70" s="10">
        <f>(((((C70)+(D70))+(E70))+(F70))+(G70))+(H70)</f>
        <v>500</v>
      </c>
      <c r="J70" s="10">
        <f>(J68)+(J69)</f>
        <v>0</v>
      </c>
      <c r="K70" s="10">
        <f>(K68)+(K69)</f>
        <v>500</v>
      </c>
      <c r="L70" s="10">
        <f>(L68)+(L69)</f>
        <v>0</v>
      </c>
      <c r="M70" s="10">
        <f>(M68)+(M69)</f>
        <v>0</v>
      </c>
      <c r="N70" s="10">
        <f>(N68)+(N69)</f>
        <v>0</v>
      </c>
      <c r="O70" s="10">
        <f>(O68)+(O69)</f>
        <v>0</v>
      </c>
      <c r="P70" s="10">
        <f>(P68)+(P69)</f>
        <v>0</v>
      </c>
      <c r="Q70" s="10">
        <f>(Q68)+(Q69)</f>
        <v>0</v>
      </c>
      <c r="R70" s="10">
        <f>(R68)+(R69)</f>
        <v>0</v>
      </c>
      <c r="S70" s="10">
        <f>(S68)+(S69)</f>
        <v>1336</v>
      </c>
      <c r="T70" s="10">
        <f>(((((((((((B70)+(I70))+(J70))+(K70))+(L70))+(M70))+(N70))+(O70))+(P70))+(Q70))+(R70))+(S70)</f>
        <v>2336</v>
      </c>
      <c r="U70" s="10">
        <f>(U68)+(U69)</f>
        <v>14700</v>
      </c>
      <c r="V70" s="10">
        <f>(V68)+(V69)</f>
        <v>0</v>
      </c>
      <c r="W70" s="10">
        <f>(W68)+(W69)</f>
        <v>0</v>
      </c>
      <c r="X70" s="10">
        <f>(V70)+(W70)</f>
        <v>0</v>
      </c>
      <c r="Y70" s="10">
        <f>((T70)+(U70))+(X70)</f>
        <v>17036</v>
      </c>
    </row>
    <row r="71" spans="1:25" x14ac:dyDescent="0.3">
      <c r="A71" s="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x14ac:dyDescent="0.3">
      <c r="A72" s="3" t="s">
        <v>62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x14ac:dyDescent="0.3">
      <c r="A73" s="3" t="s">
        <v>61</v>
      </c>
      <c r="B73" s="8"/>
      <c r="C73" s="8"/>
      <c r="D73" s="8"/>
      <c r="E73" s="8"/>
      <c r="F73" s="8"/>
      <c r="G73" s="8">
        <f>80</f>
        <v>80</v>
      </c>
      <c r="H73" s="8"/>
      <c r="I73" s="8">
        <f>(((((C73)+(D73))+(E73))+(F73))+(G73))+(H73)</f>
        <v>80</v>
      </c>
      <c r="J73" s="8"/>
      <c r="K73" s="8"/>
      <c r="L73" s="8">
        <f>19</f>
        <v>19</v>
      </c>
      <c r="M73" s="8">
        <f>561.6</f>
        <v>561.6</v>
      </c>
      <c r="N73" s="8"/>
      <c r="O73" s="8"/>
      <c r="P73" s="8">
        <f>111.95</f>
        <v>111.95</v>
      </c>
      <c r="Q73" s="8"/>
      <c r="R73" s="8"/>
      <c r="S73" s="8"/>
      <c r="T73" s="8">
        <f>(((((((((((B73)+(I73))+(J73))+(K73))+(L73))+(M73))+(N73))+(O73))+(P73))+(Q73))+(R73))+(S73)</f>
        <v>772.55000000000007</v>
      </c>
      <c r="U73" s="8"/>
      <c r="V73" s="8"/>
      <c r="W73" s="8"/>
      <c r="X73" s="8"/>
      <c r="Y73" s="8">
        <f>((T73)+(U73))+(X73)</f>
        <v>772.55000000000007</v>
      </c>
    </row>
    <row r="74" spans="1:25" x14ac:dyDescent="0.3">
      <c r="A74" s="3" t="s">
        <v>60</v>
      </c>
      <c r="B74" s="8"/>
      <c r="C74" s="8"/>
      <c r="D74" s="8"/>
      <c r="E74" s="8">
        <f>61.21</f>
        <v>61.21</v>
      </c>
      <c r="F74" s="8"/>
      <c r="G74" s="8">
        <f>166.49</f>
        <v>166.49</v>
      </c>
      <c r="H74" s="8"/>
      <c r="I74" s="8">
        <f>(((((C74)+(D74))+(E74))+(F74))+(G74))+(H74)</f>
        <v>227.70000000000002</v>
      </c>
      <c r="J74" s="8"/>
      <c r="K74" s="8"/>
      <c r="L74" s="8"/>
      <c r="M74" s="8">
        <f>44.69</f>
        <v>44.69</v>
      </c>
      <c r="N74" s="8">
        <f>464.84</f>
        <v>464.84</v>
      </c>
      <c r="O74" s="8"/>
      <c r="P74" s="8">
        <f>848.69</f>
        <v>848.69</v>
      </c>
      <c r="Q74" s="8">
        <f>191.36</f>
        <v>191.36</v>
      </c>
      <c r="R74" s="8"/>
      <c r="S74" s="8"/>
      <c r="T74" s="8">
        <f>(((((((((((B74)+(I74))+(J74))+(K74))+(L74))+(M74))+(N74))+(O74))+(P74))+(Q74))+(R74))+(S74)</f>
        <v>1777.2800000000002</v>
      </c>
      <c r="U74" s="8">
        <f>105.93</f>
        <v>105.93</v>
      </c>
      <c r="V74" s="8"/>
      <c r="W74" s="8"/>
      <c r="X74" s="8"/>
      <c r="Y74" s="8">
        <f>((T74)+(U74))+(X74)</f>
        <v>1883.2100000000003</v>
      </c>
    </row>
    <row r="75" spans="1:25" x14ac:dyDescent="0.3">
      <c r="A75" s="3" t="s">
        <v>59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>
        <f>520.43</f>
        <v>520.42999999999995</v>
      </c>
      <c r="N75" s="8"/>
      <c r="O75" s="8"/>
      <c r="P75" s="8"/>
      <c r="Q75" s="8"/>
      <c r="R75" s="8"/>
      <c r="S75" s="8"/>
      <c r="T75" s="8">
        <f>(((((((((((B75)+(I75))+(J75))+(K75))+(L75))+(M75))+(N75))+(O75))+(P75))+(Q75))+(R75))+(S75)</f>
        <v>520.42999999999995</v>
      </c>
      <c r="U75" s="8"/>
      <c r="V75" s="8"/>
      <c r="W75" s="8"/>
      <c r="X75" s="8"/>
      <c r="Y75" s="8">
        <f>((T75)+(U75))+(X75)</f>
        <v>520.42999999999995</v>
      </c>
    </row>
    <row r="76" spans="1:25" x14ac:dyDescent="0.3">
      <c r="A76" s="3" t="s">
        <v>58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>
        <f>581.4</f>
        <v>581.4</v>
      </c>
      <c r="N76" s="8"/>
      <c r="O76" s="8"/>
      <c r="P76" s="8"/>
      <c r="Q76" s="8"/>
      <c r="R76" s="8"/>
      <c r="S76" s="8"/>
      <c r="T76" s="8">
        <f>(((((((((((B76)+(I76))+(J76))+(K76))+(L76))+(M76))+(N76))+(O76))+(P76))+(Q76))+(R76))+(S76)</f>
        <v>581.4</v>
      </c>
      <c r="U76" s="8"/>
      <c r="V76" s="8"/>
      <c r="W76" s="8"/>
      <c r="X76" s="8"/>
      <c r="Y76" s="8">
        <f>((T76)+(U76))+(X76)</f>
        <v>581.4</v>
      </c>
    </row>
    <row r="77" spans="1:25" x14ac:dyDescent="0.3">
      <c r="A77" s="3" t="s">
        <v>57</v>
      </c>
      <c r="B77" s="10">
        <f>((((B72)+(B73))+(B74))+(B75))+(B76)</f>
        <v>0</v>
      </c>
      <c r="C77" s="10">
        <f>((((C72)+(C73))+(C74))+(C75))+(C76)</f>
        <v>0</v>
      </c>
      <c r="D77" s="10">
        <f>((((D72)+(D73))+(D74))+(D75))+(D76)</f>
        <v>0</v>
      </c>
      <c r="E77" s="10">
        <f>((((E72)+(E73))+(E74))+(E75))+(E76)</f>
        <v>61.21</v>
      </c>
      <c r="F77" s="10">
        <f>((((F72)+(F73))+(F74))+(F75))+(F76)</f>
        <v>0</v>
      </c>
      <c r="G77" s="10">
        <f>((((G72)+(G73))+(G74))+(G75))+(G76)</f>
        <v>246.49</v>
      </c>
      <c r="H77" s="10">
        <f>((((H72)+(H73))+(H74))+(H75))+(H76)</f>
        <v>0</v>
      </c>
      <c r="I77" s="10">
        <f>(((((C77)+(D77))+(E77))+(F77))+(G77))+(H77)</f>
        <v>307.7</v>
      </c>
      <c r="J77" s="10">
        <f>((((J72)+(J73))+(J74))+(J75))+(J76)</f>
        <v>0</v>
      </c>
      <c r="K77" s="10">
        <f>((((K72)+(K73))+(K74))+(K75))+(K76)</f>
        <v>0</v>
      </c>
      <c r="L77" s="10">
        <f>((((L72)+(L73))+(L74))+(L75))+(L76)</f>
        <v>19</v>
      </c>
      <c r="M77" s="10">
        <f>((((M72)+(M73))+(M74))+(M75))+(M76)</f>
        <v>1708.12</v>
      </c>
      <c r="N77" s="10">
        <f>((((N72)+(N73))+(N74))+(N75))+(N76)</f>
        <v>464.84</v>
      </c>
      <c r="O77" s="10">
        <f>((((O72)+(O73))+(O74))+(O75))+(O76)</f>
        <v>0</v>
      </c>
      <c r="P77" s="10">
        <f>((((P72)+(P73))+(P74))+(P75))+(P76)</f>
        <v>960.6400000000001</v>
      </c>
      <c r="Q77" s="10">
        <f>((((Q72)+(Q73))+(Q74))+(Q75))+(Q76)</f>
        <v>191.36</v>
      </c>
      <c r="R77" s="10">
        <f>((((R72)+(R73))+(R74))+(R75))+(R76)</f>
        <v>0</v>
      </c>
      <c r="S77" s="10">
        <f>((((S72)+(S73))+(S74))+(S75))+(S76)</f>
        <v>0</v>
      </c>
      <c r="T77" s="10">
        <f>(((((((((((B77)+(I77))+(J77))+(K77))+(L77))+(M77))+(N77))+(O77))+(P77))+(Q77))+(R77))+(S77)</f>
        <v>3651.6600000000003</v>
      </c>
      <c r="U77" s="10">
        <f>((((U72)+(U73))+(U74))+(U75))+(U76)</f>
        <v>105.93</v>
      </c>
      <c r="V77" s="10">
        <f>((((V72)+(V73))+(V74))+(V75))+(V76)</f>
        <v>0</v>
      </c>
      <c r="W77" s="10">
        <f>((((W72)+(W73))+(W74))+(W75))+(W76)</f>
        <v>0</v>
      </c>
      <c r="X77" s="10">
        <f>(V77)+(W77)</f>
        <v>0</v>
      </c>
      <c r="Y77" s="10">
        <f>((T77)+(U77))+(X77)</f>
        <v>3757.59</v>
      </c>
    </row>
    <row r="78" spans="1:25" x14ac:dyDescent="0.3">
      <c r="A78" s="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x14ac:dyDescent="0.3">
      <c r="A79" s="3" t="s">
        <v>56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x14ac:dyDescent="0.3">
      <c r="A80" s="3" t="s">
        <v>55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>
        <f>260.28</f>
        <v>260.27999999999997</v>
      </c>
      <c r="N80" s="8"/>
      <c r="O80" s="8"/>
      <c r="P80" s="8">
        <f>3335.5</f>
        <v>3335.5</v>
      </c>
      <c r="Q80" s="8">
        <f>84.81</f>
        <v>84.81</v>
      </c>
      <c r="R80" s="8"/>
      <c r="S80" s="8"/>
      <c r="T80" s="8">
        <f>(((((((((((B80)+(I80))+(J80))+(K80))+(L80))+(M80))+(N80))+(O80))+(P80))+(Q80))+(R80))+(S80)</f>
        <v>3680.5899999999997</v>
      </c>
      <c r="U80" s="8"/>
      <c r="V80" s="8"/>
      <c r="W80" s="8"/>
      <c r="X80" s="8"/>
      <c r="Y80" s="8">
        <f>((T80)+(U80))+(X80)</f>
        <v>3680.5899999999997</v>
      </c>
    </row>
    <row r="81" spans="1:25" x14ac:dyDescent="0.3">
      <c r="A81" s="3" t="s">
        <v>54</v>
      </c>
      <c r="B81" s="8"/>
      <c r="C81" s="8"/>
      <c r="D81" s="8"/>
      <c r="E81" s="8"/>
      <c r="F81" s="8">
        <f>50</f>
        <v>50</v>
      </c>
      <c r="G81" s="8"/>
      <c r="H81" s="8"/>
      <c r="I81" s="8">
        <f>(((((C81)+(D81))+(E81))+(F81))+(G81))+(H81)</f>
        <v>50</v>
      </c>
      <c r="J81" s="8"/>
      <c r="K81" s="8"/>
      <c r="L81" s="8"/>
      <c r="M81" s="8"/>
      <c r="N81" s="8"/>
      <c r="O81" s="8"/>
      <c r="P81" s="8">
        <f>1291.25</f>
        <v>1291.25</v>
      </c>
      <c r="Q81" s="8"/>
      <c r="R81" s="8"/>
      <c r="S81" s="8"/>
      <c r="T81" s="8">
        <f>(((((((((((B81)+(I81))+(J81))+(K81))+(L81))+(M81))+(N81))+(O81))+(P81))+(Q81))+(R81))+(S81)</f>
        <v>1341.25</v>
      </c>
      <c r="U81" s="8"/>
      <c r="V81" s="8"/>
      <c r="W81" s="8"/>
      <c r="X81" s="8"/>
      <c r="Y81" s="8">
        <f>((T81)+(U81))+(X81)</f>
        <v>1341.25</v>
      </c>
    </row>
    <row r="82" spans="1:25" x14ac:dyDescent="0.3">
      <c r="A82" s="3" t="s">
        <v>53</v>
      </c>
      <c r="B82" s="8"/>
      <c r="C82" s="8"/>
      <c r="D82" s="8"/>
      <c r="E82" s="8">
        <f>36.53</f>
        <v>36.53</v>
      </c>
      <c r="F82" s="8"/>
      <c r="G82" s="8"/>
      <c r="H82" s="8"/>
      <c r="I82" s="8">
        <f>(((((C82)+(D82))+(E82))+(F82))+(G82))+(H82)</f>
        <v>36.53</v>
      </c>
      <c r="J82" s="8"/>
      <c r="K82" s="8"/>
      <c r="L82" s="8"/>
      <c r="M82" s="8"/>
      <c r="N82" s="8"/>
      <c r="O82" s="8"/>
      <c r="P82" s="8">
        <f>785.9</f>
        <v>785.9</v>
      </c>
      <c r="Q82" s="8">
        <f>29.67</f>
        <v>29.67</v>
      </c>
      <c r="R82" s="8"/>
      <c r="S82" s="8"/>
      <c r="T82" s="8">
        <f>(((((((((((B82)+(I82))+(J82))+(K82))+(L82))+(M82))+(N82))+(O82))+(P82))+(Q82))+(R82))+(S82)</f>
        <v>852.09999999999991</v>
      </c>
      <c r="U82" s="8"/>
      <c r="V82" s="8"/>
      <c r="W82" s="8"/>
      <c r="X82" s="8"/>
      <c r="Y82" s="8">
        <f>((T82)+(U82))+(X82)</f>
        <v>852.09999999999991</v>
      </c>
    </row>
    <row r="83" spans="1:25" x14ac:dyDescent="0.3">
      <c r="A83" s="3" t="s">
        <v>52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>
        <f>155.35</f>
        <v>155.35</v>
      </c>
      <c r="Q83" s="8"/>
      <c r="R83" s="8"/>
      <c r="S83" s="8">
        <f>379.95</f>
        <v>379.95</v>
      </c>
      <c r="T83" s="8">
        <f>(((((((((((B83)+(I83))+(J83))+(K83))+(L83))+(M83))+(N83))+(O83))+(P83))+(Q83))+(R83))+(S83)</f>
        <v>535.29999999999995</v>
      </c>
      <c r="U83" s="8"/>
      <c r="V83" s="8"/>
      <c r="W83" s="8"/>
      <c r="X83" s="8"/>
      <c r="Y83" s="8">
        <f>((T83)+(U83))+(X83)</f>
        <v>535.29999999999995</v>
      </c>
    </row>
    <row r="84" spans="1:25" x14ac:dyDescent="0.3">
      <c r="A84" s="3" t="s">
        <v>51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>
        <f>1188.85</f>
        <v>1188.8499999999999</v>
      </c>
      <c r="T84" s="8">
        <f>(((((((((((B84)+(I84))+(J84))+(K84))+(L84))+(M84))+(N84))+(O84))+(P84))+(Q84))+(R84))+(S84)</f>
        <v>1188.8499999999999</v>
      </c>
      <c r="U84" s="8"/>
      <c r="V84" s="8"/>
      <c r="W84" s="8"/>
      <c r="X84" s="8"/>
      <c r="Y84" s="8">
        <f>((T84)+(U84))+(X84)</f>
        <v>1188.8499999999999</v>
      </c>
    </row>
    <row r="85" spans="1:25" x14ac:dyDescent="0.3">
      <c r="A85" s="3" t="s">
        <v>50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>
        <f>640</f>
        <v>640</v>
      </c>
      <c r="T85" s="8">
        <f>(((((((((((B85)+(I85))+(J85))+(K85))+(L85))+(M85))+(N85))+(O85))+(P85))+(Q85))+(R85))+(S85)</f>
        <v>640</v>
      </c>
      <c r="U85" s="8"/>
      <c r="V85" s="8"/>
      <c r="W85" s="8"/>
      <c r="X85" s="8"/>
      <c r="Y85" s="8">
        <f>((T85)+(U85))+(X85)</f>
        <v>640</v>
      </c>
    </row>
    <row r="86" spans="1:25" x14ac:dyDescent="0.3">
      <c r="A86" s="3" t="s">
        <v>49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>
        <f>554.28</f>
        <v>554.28</v>
      </c>
      <c r="Q86" s="8">
        <f>185.84</f>
        <v>185.84</v>
      </c>
      <c r="R86" s="8"/>
      <c r="S86" s="8"/>
      <c r="T86" s="8">
        <f>(((((((((((B86)+(I86))+(J86))+(K86))+(L86))+(M86))+(N86))+(O86))+(P86))+(Q86))+(R86))+(S86)</f>
        <v>740.12</v>
      </c>
      <c r="U86" s="8"/>
      <c r="V86" s="8"/>
      <c r="W86" s="8"/>
      <c r="X86" s="8"/>
      <c r="Y86" s="8">
        <f>((T86)+(U86))+(X86)</f>
        <v>740.12</v>
      </c>
    </row>
    <row r="87" spans="1:25" x14ac:dyDescent="0.3">
      <c r="A87" s="3" t="s">
        <v>48</v>
      </c>
      <c r="B87" s="10">
        <f>(((((((B79)+(B80))+(B81))+(B82))+(B83))+(B84))+(B85))+(B86)</f>
        <v>0</v>
      </c>
      <c r="C87" s="10">
        <f>(((((((C79)+(C80))+(C81))+(C82))+(C83))+(C84))+(C85))+(C86)</f>
        <v>0</v>
      </c>
      <c r="D87" s="10">
        <f>(((((((D79)+(D80))+(D81))+(D82))+(D83))+(D84))+(D85))+(D86)</f>
        <v>0</v>
      </c>
      <c r="E87" s="10">
        <f>(((((((E79)+(E80))+(E81))+(E82))+(E83))+(E84))+(E85))+(E86)</f>
        <v>36.53</v>
      </c>
      <c r="F87" s="10">
        <f>(((((((F79)+(F80))+(F81))+(F82))+(F83))+(F84))+(F85))+(F86)</f>
        <v>50</v>
      </c>
      <c r="G87" s="10">
        <f>(((((((G79)+(G80))+(G81))+(G82))+(G83))+(G84))+(G85))+(G86)</f>
        <v>0</v>
      </c>
      <c r="H87" s="10">
        <f>(((((((H79)+(H80))+(H81))+(H82))+(H83))+(H84))+(H85))+(H86)</f>
        <v>0</v>
      </c>
      <c r="I87" s="10">
        <f>(((((C87)+(D87))+(E87))+(F87))+(G87))+(H87)</f>
        <v>86.53</v>
      </c>
      <c r="J87" s="10">
        <f>(((((((J79)+(J80))+(J81))+(J82))+(J83))+(J84))+(J85))+(J86)</f>
        <v>0</v>
      </c>
      <c r="K87" s="10">
        <f>(((((((K79)+(K80))+(K81))+(K82))+(K83))+(K84))+(K85))+(K86)</f>
        <v>0</v>
      </c>
      <c r="L87" s="10">
        <f>(((((((L79)+(L80))+(L81))+(L82))+(L83))+(L84))+(L85))+(L86)</f>
        <v>0</v>
      </c>
      <c r="M87" s="10">
        <f>(((((((M79)+(M80))+(M81))+(M82))+(M83))+(M84))+(M85))+(M86)</f>
        <v>260.27999999999997</v>
      </c>
      <c r="N87" s="10">
        <f>(((((((N79)+(N80))+(N81))+(N82))+(N83))+(N84))+(N85))+(N86)</f>
        <v>0</v>
      </c>
      <c r="O87" s="10">
        <f>(((((((O79)+(O80))+(O81))+(O82))+(O83))+(O84))+(O85))+(O86)</f>
        <v>0</v>
      </c>
      <c r="P87" s="10">
        <f>(((((((P79)+(P80))+(P81))+(P82))+(P83))+(P84))+(P85))+(P86)</f>
        <v>6122.28</v>
      </c>
      <c r="Q87" s="10">
        <f>(((((((Q79)+(Q80))+(Q81))+(Q82))+(Q83))+(Q84))+(Q85))+(Q86)</f>
        <v>300.32</v>
      </c>
      <c r="R87" s="10">
        <f>(((((((R79)+(R80))+(R81))+(R82))+(R83))+(R84))+(R85))+(R86)</f>
        <v>0</v>
      </c>
      <c r="S87" s="10">
        <f>(((((((S79)+(S80))+(S81))+(S82))+(S83))+(S84))+(S85))+(S86)</f>
        <v>2208.8000000000002</v>
      </c>
      <c r="T87" s="10">
        <f>(((((((((((B87)+(I87))+(J87))+(K87))+(L87))+(M87))+(N87))+(O87))+(P87))+(Q87))+(R87))+(S87)</f>
        <v>8978.2099999999991</v>
      </c>
      <c r="U87" s="10">
        <f>(((((((U79)+(U80))+(U81))+(U82))+(U83))+(U84))+(U85))+(U86)</f>
        <v>0</v>
      </c>
      <c r="V87" s="10">
        <f>(((((((V79)+(V80))+(V81))+(V82))+(V83))+(V84))+(V85))+(V86)</f>
        <v>0</v>
      </c>
      <c r="W87" s="10">
        <f>(((((((W79)+(W80))+(W81))+(W82))+(W83))+(W84))+(W85))+(W86)</f>
        <v>0</v>
      </c>
      <c r="X87" s="10">
        <f>(V87)+(W87)</f>
        <v>0</v>
      </c>
      <c r="Y87" s="10">
        <f>((T87)+(U87))+(X87)</f>
        <v>8978.2099999999991</v>
      </c>
    </row>
    <row r="88" spans="1:25" x14ac:dyDescent="0.3">
      <c r="A88" s="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x14ac:dyDescent="0.3">
      <c r="A89" s="3" t="s">
        <v>47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x14ac:dyDescent="0.3">
      <c r="A90" s="3" t="s">
        <v>46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>
        <f>2466</f>
        <v>2466</v>
      </c>
      <c r="T90" s="8">
        <f>(((((((((((B90)+(I90))+(J90))+(K90))+(L90))+(M90))+(N90))+(O90))+(P90))+(Q90))+(R90))+(S90)</f>
        <v>2466</v>
      </c>
      <c r="U90" s="8">
        <f>935.23</f>
        <v>935.23</v>
      </c>
      <c r="V90" s="8"/>
      <c r="W90" s="8"/>
      <c r="X90" s="8"/>
      <c r="Y90" s="8">
        <f>((T90)+(U90))+(X90)</f>
        <v>3401.23</v>
      </c>
    </row>
    <row r="91" spans="1:25" x14ac:dyDescent="0.3">
      <c r="A91" s="3" t="s">
        <v>45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>
        <f>98.46</f>
        <v>98.46</v>
      </c>
      <c r="Q91" s="8"/>
      <c r="R91" s="8"/>
      <c r="S91" s="8">
        <f>557.15</f>
        <v>557.15</v>
      </c>
      <c r="T91" s="8">
        <f>(((((((((((B91)+(I91))+(J91))+(K91))+(L91))+(M91))+(N91))+(O91))+(P91))+(Q91))+(R91))+(S91)</f>
        <v>655.61</v>
      </c>
      <c r="U91" s="8"/>
      <c r="V91" s="8"/>
      <c r="W91" s="8"/>
      <c r="X91" s="8"/>
      <c r="Y91" s="8">
        <f>((T91)+(U91))+(X91)</f>
        <v>655.61</v>
      </c>
    </row>
    <row r="92" spans="1:25" x14ac:dyDescent="0.3">
      <c r="A92" s="3" t="s">
        <v>44</v>
      </c>
      <c r="B92" s="8"/>
      <c r="C92" s="8"/>
      <c r="D92" s="8"/>
      <c r="E92" s="8"/>
      <c r="F92" s="8">
        <f>10</f>
        <v>10</v>
      </c>
      <c r="G92" s="8"/>
      <c r="H92" s="8"/>
      <c r="I92" s="8">
        <f>(((((C92)+(D92))+(E92))+(F92))+(G92))+(H92)</f>
        <v>10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>
        <f>(((((((((((B92)+(I92))+(J92))+(K92))+(L92))+(M92))+(N92))+(O92))+(P92))+(Q92))+(R92))+(S92)</f>
        <v>10</v>
      </c>
      <c r="U92" s="8">
        <f>2080.94</f>
        <v>2080.94</v>
      </c>
      <c r="V92" s="8"/>
      <c r="W92" s="8"/>
      <c r="X92" s="8"/>
      <c r="Y92" s="8">
        <f>((T92)+(U92))+(X92)</f>
        <v>2090.94</v>
      </c>
    </row>
    <row r="93" spans="1:25" x14ac:dyDescent="0.3">
      <c r="A93" s="3" t="s">
        <v>43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>
        <f>124.6</f>
        <v>124.6</v>
      </c>
      <c r="Q93" s="8"/>
      <c r="R93" s="8"/>
      <c r="S93" s="8">
        <f>830.05</f>
        <v>830.05</v>
      </c>
      <c r="T93" s="8">
        <f>(((((((((((B93)+(I93))+(J93))+(K93))+(L93))+(M93))+(N93))+(O93))+(P93))+(Q93))+(R93))+(S93)</f>
        <v>954.65</v>
      </c>
      <c r="U93" s="8">
        <f>581.6</f>
        <v>581.6</v>
      </c>
      <c r="V93" s="8"/>
      <c r="W93" s="8"/>
      <c r="X93" s="8"/>
      <c r="Y93" s="8">
        <f>((T93)+(U93))+(X93)</f>
        <v>1536.25</v>
      </c>
    </row>
    <row r="94" spans="1:25" x14ac:dyDescent="0.3">
      <c r="A94" s="3" t="s">
        <v>42</v>
      </c>
      <c r="B94" s="8"/>
      <c r="C94" s="8"/>
      <c r="D94" s="8"/>
      <c r="E94" s="8"/>
      <c r="F94" s="8"/>
      <c r="G94" s="8"/>
      <c r="H94" s="8"/>
      <c r="I94" s="8"/>
      <c r="J94" s="8">
        <f>7</f>
        <v>7</v>
      </c>
      <c r="K94" s="8"/>
      <c r="L94" s="8"/>
      <c r="M94" s="8"/>
      <c r="N94" s="8"/>
      <c r="O94" s="8"/>
      <c r="P94" s="8">
        <f>293.48</f>
        <v>293.48</v>
      </c>
      <c r="Q94" s="8">
        <f>284</f>
        <v>284</v>
      </c>
      <c r="R94" s="8"/>
      <c r="S94" s="8"/>
      <c r="T94" s="8">
        <f>(((((((((((B94)+(I94))+(J94))+(K94))+(L94))+(M94))+(N94))+(O94))+(P94))+(Q94))+(R94))+(S94)</f>
        <v>584.48</v>
      </c>
      <c r="U94" s="8"/>
      <c r="V94" s="8"/>
      <c r="W94" s="8"/>
      <c r="X94" s="8"/>
      <c r="Y94" s="8">
        <f>((T94)+(U94))+(X94)</f>
        <v>584.48</v>
      </c>
    </row>
    <row r="95" spans="1:25" x14ac:dyDescent="0.3">
      <c r="A95" s="3" t="s">
        <v>41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>
        <f>140.46</f>
        <v>140.46</v>
      </c>
      <c r="V95" s="8"/>
      <c r="W95" s="8"/>
      <c r="X95" s="8"/>
      <c r="Y95" s="8">
        <f>((T95)+(U95))+(X95)</f>
        <v>140.46</v>
      </c>
    </row>
    <row r="96" spans="1:25" x14ac:dyDescent="0.3">
      <c r="A96" s="3" t="s">
        <v>40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>
        <f>101.45</f>
        <v>101.45</v>
      </c>
      <c r="T96" s="8">
        <f>(((((((((((B96)+(I96))+(J96))+(K96))+(L96))+(M96))+(N96))+(O96))+(P96))+(Q96))+(R96))+(S96)</f>
        <v>101.45</v>
      </c>
      <c r="U96" s="8">
        <f>72.42</f>
        <v>72.42</v>
      </c>
      <c r="V96" s="8"/>
      <c r="W96" s="8"/>
      <c r="X96" s="8"/>
      <c r="Y96" s="8">
        <f>((T96)+(U96))+(X96)</f>
        <v>173.87</v>
      </c>
    </row>
    <row r="97" spans="1:25" x14ac:dyDescent="0.3">
      <c r="A97" s="3" t="s">
        <v>39</v>
      </c>
      <c r="B97" s="10">
        <f>(((((((B89)+(B90))+(B91))+(B92))+(B93))+(B94))+(B95))+(B96)</f>
        <v>0</v>
      </c>
      <c r="C97" s="10">
        <f>(((((((C89)+(C90))+(C91))+(C92))+(C93))+(C94))+(C95))+(C96)</f>
        <v>0</v>
      </c>
      <c r="D97" s="10">
        <f>(((((((D89)+(D90))+(D91))+(D92))+(D93))+(D94))+(D95))+(D96)</f>
        <v>0</v>
      </c>
      <c r="E97" s="10">
        <f>(((((((E89)+(E90))+(E91))+(E92))+(E93))+(E94))+(E95))+(E96)</f>
        <v>0</v>
      </c>
      <c r="F97" s="10">
        <f>(((((((F89)+(F90))+(F91))+(F92))+(F93))+(F94))+(F95))+(F96)</f>
        <v>10</v>
      </c>
      <c r="G97" s="10">
        <f>(((((((G89)+(G90))+(G91))+(G92))+(G93))+(G94))+(G95))+(G96)</f>
        <v>0</v>
      </c>
      <c r="H97" s="10">
        <f>(((((((H89)+(H90))+(H91))+(H92))+(H93))+(H94))+(H95))+(H96)</f>
        <v>0</v>
      </c>
      <c r="I97" s="10">
        <f>(((((C97)+(D97))+(E97))+(F97))+(G97))+(H97)</f>
        <v>10</v>
      </c>
      <c r="J97" s="10">
        <f>(((((((J89)+(J90))+(J91))+(J92))+(J93))+(J94))+(J95))+(J96)</f>
        <v>7</v>
      </c>
      <c r="K97" s="10">
        <f>(((((((K89)+(K90))+(K91))+(K92))+(K93))+(K94))+(K95))+(K96)</f>
        <v>0</v>
      </c>
      <c r="L97" s="10">
        <f>(((((((L89)+(L90))+(L91))+(L92))+(L93))+(L94))+(L95))+(L96)</f>
        <v>0</v>
      </c>
      <c r="M97" s="10">
        <f>(((((((M89)+(M90))+(M91))+(M92))+(M93))+(M94))+(M95))+(M96)</f>
        <v>0</v>
      </c>
      <c r="N97" s="10">
        <f>(((((((N89)+(N90))+(N91))+(N92))+(N93))+(N94))+(N95))+(N96)</f>
        <v>0</v>
      </c>
      <c r="O97" s="10">
        <f>(((((((O89)+(O90))+(O91))+(O92))+(O93))+(O94))+(O95))+(O96)</f>
        <v>0</v>
      </c>
      <c r="P97" s="10">
        <f>(((((((P89)+(P90))+(P91))+(P92))+(P93))+(P94))+(P95))+(P96)</f>
        <v>516.54</v>
      </c>
      <c r="Q97" s="10">
        <f>(((((((Q89)+(Q90))+(Q91))+(Q92))+(Q93))+(Q94))+(Q95))+(Q96)</f>
        <v>284</v>
      </c>
      <c r="R97" s="10">
        <f>(((((((R89)+(R90))+(R91))+(R92))+(R93))+(R94))+(R95))+(R96)</f>
        <v>0</v>
      </c>
      <c r="S97" s="10">
        <f>(((((((S89)+(S90))+(S91))+(S92))+(S93))+(S94))+(S95))+(S96)</f>
        <v>3954.6499999999996</v>
      </c>
      <c r="T97" s="10">
        <f>(((((((((((B97)+(I97))+(J97))+(K97))+(L97))+(M97))+(N97))+(O97))+(P97))+(Q97))+(R97))+(S97)</f>
        <v>4772.1899999999996</v>
      </c>
      <c r="U97" s="10">
        <f>(((((((U89)+(U90))+(U91))+(U92))+(U93))+(U94))+(U95))+(U96)</f>
        <v>3810.65</v>
      </c>
      <c r="V97" s="10">
        <f>(((((((V89)+(V90))+(V91))+(V92))+(V93))+(V94))+(V95))+(V96)</f>
        <v>0</v>
      </c>
      <c r="W97" s="10">
        <f>(((((((W89)+(W90))+(W91))+(W92))+(W93))+(W94))+(W95))+(W96)</f>
        <v>0</v>
      </c>
      <c r="X97" s="10">
        <f>(V97)+(W97)</f>
        <v>0</v>
      </c>
      <c r="Y97" s="10">
        <f>((T97)+(U97))+(X97)</f>
        <v>8582.84</v>
      </c>
    </row>
    <row r="98" spans="1:25" x14ac:dyDescent="0.3">
      <c r="A98" s="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x14ac:dyDescent="0.3">
      <c r="A99" s="3" t="s">
        <v>38</v>
      </c>
      <c r="B99" s="10">
        <f>((((((B51)+(B57))+(B66))+(B70))+(B77))+(B87))+(B97)</f>
        <v>0</v>
      </c>
      <c r="C99" s="10">
        <f>((((((C51)+(C57))+(C66))+(C70))+(C77))+(C87))+(C97)</f>
        <v>0</v>
      </c>
      <c r="D99" s="10">
        <f>((((((D51)+(D57))+(D66))+(D70))+(D77))+(D87))+(D97)</f>
        <v>212.5</v>
      </c>
      <c r="E99" s="10">
        <f>((((((E51)+(E57))+(E66))+(E70))+(E77))+(E87))+(E97)</f>
        <v>3229.8</v>
      </c>
      <c r="F99" s="10">
        <f>((((((F51)+(F57))+(F66))+(F70))+(F77))+(F87))+(F97)</f>
        <v>190</v>
      </c>
      <c r="G99" s="10">
        <f>((((((G51)+(G57))+(G66))+(G70))+(G77))+(G87))+(G97)</f>
        <v>746.49</v>
      </c>
      <c r="H99" s="10">
        <f>((((((H51)+(H57))+(H66))+(H70))+(H77))+(H87))+(H97)</f>
        <v>520</v>
      </c>
      <c r="I99" s="10">
        <f>(((((C99)+(D99))+(E99))+(F99))+(G99))+(H99)</f>
        <v>4898.79</v>
      </c>
      <c r="J99" s="10">
        <f>((((((J51)+(J57))+(J66))+(J70))+(J77))+(J87))+(J97)</f>
        <v>1954.5</v>
      </c>
      <c r="K99" s="10">
        <f>((((((K51)+(K57))+(K66))+(K70))+(K77))+(K87))+(K97)</f>
        <v>922.5</v>
      </c>
      <c r="L99" s="10">
        <f>((((((L51)+(L57))+(L66))+(L70))+(L77))+(L87))+(L97)</f>
        <v>228.76</v>
      </c>
      <c r="M99" s="10">
        <f>((((((M51)+(M57))+(M66))+(M70))+(M77))+(M87))+(M97)</f>
        <v>2440.8999999999996</v>
      </c>
      <c r="N99" s="10">
        <f>((((((N51)+(N57))+(N66))+(N70))+(N77))+(N87))+(N97)</f>
        <v>724.83999999999992</v>
      </c>
      <c r="O99" s="10">
        <f>((((((O51)+(O57))+(O66))+(O70))+(O77))+(O87))+(O97)</f>
        <v>0</v>
      </c>
      <c r="P99" s="10">
        <f>((((((P51)+(P57))+(P66))+(P70))+(P77))+(P87))+(P97)</f>
        <v>20986.46</v>
      </c>
      <c r="Q99" s="10">
        <f>((((((Q51)+(Q57))+(Q66))+(Q70))+(Q77))+(Q87))+(Q97)</f>
        <v>1905.68</v>
      </c>
      <c r="R99" s="10">
        <f>((((((R51)+(R57))+(R66))+(R70))+(R77))+(R87))+(R97)</f>
        <v>135</v>
      </c>
      <c r="S99" s="10">
        <f>((((((S51)+(S57))+(S66))+(S70))+(S77))+(S87))+(S97)</f>
        <v>50264.770000000004</v>
      </c>
      <c r="T99" s="10">
        <f>(((((((((((B99)+(I99))+(J99))+(K99))+(L99))+(M99))+(N99))+(O99))+(P99))+(Q99))+(R99))+(S99)</f>
        <v>84462.200000000012</v>
      </c>
      <c r="U99" s="10">
        <f>((((((U51)+(U57))+(U66))+(U70))+(U77))+(U87))+(U97)</f>
        <v>33273.82</v>
      </c>
      <c r="V99" s="10">
        <f>((((((V51)+(V57))+(V66))+(V70))+(V77))+(V87))+(V97)</f>
        <v>3014.19</v>
      </c>
      <c r="W99" s="10">
        <f>((((((W51)+(W57))+(W66))+(W70))+(W77))+(W87))+(W97)</f>
        <v>0</v>
      </c>
      <c r="X99" s="10">
        <f>(V99)+(W99)</f>
        <v>3014.19</v>
      </c>
      <c r="Y99" s="10">
        <f>((T99)+(U99))+(X99)</f>
        <v>120750.21000000002</v>
      </c>
    </row>
    <row r="100" spans="1:25" x14ac:dyDescent="0.3">
      <c r="A100" s="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idden="1" x14ac:dyDescent="0.3">
      <c r="A101" s="3" t="s">
        <v>37</v>
      </c>
      <c r="B101" s="10">
        <f>(B44)-(B99)</f>
        <v>0</v>
      </c>
      <c r="C101" s="10">
        <f>(C44)-(C99)</f>
        <v>0</v>
      </c>
      <c r="D101" s="10">
        <f>(D44)-(D99)</f>
        <v>-212.5</v>
      </c>
      <c r="E101" s="10">
        <f>(E44)-(E99)</f>
        <v>-3229.8</v>
      </c>
      <c r="F101" s="10">
        <f>(F44)-(F99)</f>
        <v>-190</v>
      </c>
      <c r="G101" s="10">
        <f>(G44)-(G99)</f>
        <v>-91.149999999999977</v>
      </c>
      <c r="H101" s="10">
        <f>(H44)-(H99)</f>
        <v>544.97</v>
      </c>
      <c r="I101" s="10">
        <f>(((((C101)+(D101))+(E101))+(F101))+(G101))+(H101)</f>
        <v>-3178.4800000000005</v>
      </c>
      <c r="J101" s="10">
        <f>(J44)-(J99)</f>
        <v>22592.5</v>
      </c>
      <c r="K101" s="10">
        <f>(K44)-(K99)</f>
        <v>3622.5</v>
      </c>
      <c r="L101" s="10">
        <f>(L44)-(L99)</f>
        <v>3741.24</v>
      </c>
      <c r="M101" s="10">
        <f>(M44)-(M99)</f>
        <v>1309.1000000000004</v>
      </c>
      <c r="N101" s="10">
        <f>(N44)-(N99)</f>
        <v>871.16000000000008</v>
      </c>
      <c r="O101" s="10">
        <f>(O44)-(O99)</f>
        <v>5892</v>
      </c>
      <c r="P101" s="10">
        <f>(P44)-(P99)</f>
        <v>4078.119999999999</v>
      </c>
      <c r="Q101" s="10">
        <f>(Q44)-(Q99)</f>
        <v>1177.32</v>
      </c>
      <c r="R101" s="10">
        <f>(R44)-(R99)</f>
        <v>630</v>
      </c>
      <c r="S101" s="10">
        <f>(S44)-(S99)</f>
        <v>1675.1299999999974</v>
      </c>
      <c r="T101" s="10">
        <f>(((((((((((B101)+(I101))+(J101))+(K101))+(L101))+(M101))+(N101))+(O101))+(P101))+(Q101))+(R101))+(S101)</f>
        <v>42410.59</v>
      </c>
      <c r="U101" s="10">
        <f>(U44)-(U99)</f>
        <v>-31528.829999999998</v>
      </c>
      <c r="V101" s="10">
        <f>(V44)-(V99)</f>
        <v>-3014.19</v>
      </c>
      <c r="W101" s="10">
        <f>(W44)-(W99)</f>
        <v>222</v>
      </c>
      <c r="X101" s="10">
        <f>(V101)+(W101)</f>
        <v>-2792.19</v>
      </c>
      <c r="Y101" s="10">
        <f>((T101)+(U101))+(X101)</f>
        <v>8089.5699999999979</v>
      </c>
    </row>
    <row r="102" spans="1:25" hidden="1" x14ac:dyDescent="0.3">
      <c r="A102" s="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5" thickBot="1" x14ac:dyDescent="0.35">
      <c r="A103" s="3" t="s">
        <v>36</v>
      </c>
      <c r="B103" s="12">
        <f>(B101)+(0)</f>
        <v>0</v>
      </c>
      <c r="C103" s="12">
        <f>(C101)+(0)</f>
        <v>0</v>
      </c>
      <c r="D103" s="12">
        <f>(D101)+(0)</f>
        <v>-212.5</v>
      </c>
      <c r="E103" s="12">
        <f>(E101)+(0)</f>
        <v>-3229.8</v>
      </c>
      <c r="F103" s="12">
        <f>(F101)+(0)</f>
        <v>-190</v>
      </c>
      <c r="G103" s="12">
        <f>(G101)+(0)</f>
        <v>-91.149999999999977</v>
      </c>
      <c r="H103" s="12">
        <f>(H101)+(0)</f>
        <v>544.97</v>
      </c>
      <c r="I103" s="12">
        <f>(((((C103)+(D103))+(E103))+(F103))+(G103))+(H103)</f>
        <v>-3178.4800000000005</v>
      </c>
      <c r="J103" s="12">
        <f>(J101)+(0)</f>
        <v>22592.5</v>
      </c>
      <c r="K103" s="12">
        <f>(K101)+(0)</f>
        <v>3622.5</v>
      </c>
      <c r="L103" s="12">
        <f>(L101)+(0)</f>
        <v>3741.24</v>
      </c>
      <c r="M103" s="12">
        <f>(M101)+(0)</f>
        <v>1309.1000000000004</v>
      </c>
      <c r="N103" s="12">
        <f>(N101)+(0)</f>
        <v>871.16000000000008</v>
      </c>
      <c r="O103" s="12">
        <f>(O101)+(0)</f>
        <v>5892</v>
      </c>
      <c r="P103" s="12">
        <f>(P101)+(0)</f>
        <v>4078.119999999999</v>
      </c>
      <c r="Q103" s="12">
        <f>(Q101)+(0)</f>
        <v>1177.32</v>
      </c>
      <c r="R103" s="12">
        <f>(R101)+(0)</f>
        <v>630</v>
      </c>
      <c r="S103" s="12">
        <f>(S101)+(0)</f>
        <v>1675.1299999999974</v>
      </c>
      <c r="T103" s="12">
        <f>(((((((((((B103)+(I103))+(J103))+(K103))+(L103))+(M103))+(N103))+(O103))+(P103))+(Q103))+(R103))+(S103)</f>
        <v>42410.59</v>
      </c>
      <c r="U103" s="12">
        <f>(U101)+(0)</f>
        <v>-31528.829999999998</v>
      </c>
      <c r="V103" s="12">
        <f>(V101)+(0)</f>
        <v>-3014.19</v>
      </c>
      <c r="W103" s="12">
        <f>(W101)+(0)</f>
        <v>222</v>
      </c>
      <c r="X103" s="12">
        <f>(V103)+(W103)</f>
        <v>-2792.19</v>
      </c>
      <c r="Y103" s="12">
        <f>((T103)+(U103))+(X103)</f>
        <v>8089.5699999999979</v>
      </c>
    </row>
    <row r="104" spans="1:25" ht="15" thickTop="1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</sheetData>
  <mergeCells count="3">
    <mergeCell ref="A1:Y1"/>
    <mergeCell ref="A2:Y2"/>
    <mergeCell ref="A3:Y3"/>
  </mergeCells>
  <printOptions horizontalCentered="1"/>
  <pageMargins left="0.7" right="0.7" top="0.75" bottom="0.75" header="0.3" footer="0.3"/>
  <pageSetup scale="39" fitToHeight="0" orientation="landscape" r:id="rId1"/>
  <headerFooter>
    <oddFooter>Page &amp;P of &amp;N</oddFooter>
  </headerFooter>
  <rowBreaks count="1" manualBreakCount="1">
    <brk id="58" max="16383" man="1"/>
  </rowBreaks>
  <ignoredErrors>
    <ignoredError sqref="I12:T12 I16:T16 J15:T15 J14:S14 I20:T20 J19:T19 I24:T24 J21:T21 J18:S18 I28:T28 J27:T27 J25:S26 I46:T46 J31:T31 J30:S30 J36:S37 J48:T49 J47:S47 I51:T51 J50:S50 I55:T57 I60:T60 I64:T66 J61:T63 I69:T70 I73:T74 J72:S72 I77:T77 J75:T76 I81:T82 J80:T80 J79:S79 I87:T87 J83:T86 I92:T92 J90:T91 I103:T103 J93:T94 J89:S89 J96:T96 J95:S95 I22:T22 I44:T44 I42:T42 I40:T40 I38:T38 J32:S34 I101:T101 I99:T99 I97:T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STMT of Fin Pos</vt:lpstr>
      <vt:lpstr>STMT of Fin Act</vt:lpstr>
      <vt:lpstr>STMT of Fin Act by Month</vt:lpstr>
      <vt:lpstr>STMT of Fin Act by Class</vt:lpstr>
      <vt:lpstr>'STMT of Fin Act'!Print_Titles</vt:lpstr>
      <vt:lpstr>'STMT of Fin Act by Class'!Print_Titles</vt:lpstr>
      <vt:lpstr>'STMT of Fin Act by Month'!Print_Titles</vt:lpstr>
      <vt:lpstr>'STMT of Fin Pos'!Print_Titles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Natnicha Pakkharakarnkul</cp:lastModifiedBy>
  <cp:lastPrinted>2022-07-25T04:03:14Z</cp:lastPrinted>
  <dcterms:created xsi:type="dcterms:W3CDTF">2022-07-25T03:50:43Z</dcterms:created>
  <dcterms:modified xsi:type="dcterms:W3CDTF">2022-07-25T04:03:30Z</dcterms:modified>
</cp:coreProperties>
</file>