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hcahealthcare-my.sharepoint.com/personal/kos7510_hca_corpad_net/Documents/Employee Benefits/Finance Team/Team Members/Charlie/Proverbs/"/>
    </mc:Choice>
  </mc:AlternateContent>
  <bookViews>
    <workbookView xWindow="0" yWindow="3870" windowWidth="21870" windowHeight="9390"/>
  </bookViews>
  <sheets>
    <sheet name="Budget Update Summary" sheetId="4" r:id="rId1"/>
    <sheet name="2020 Budget Proposal Detail" sheetId="5" state="hidden" r:id="rId2"/>
    <sheet name="Budget vs Actual w History" sheetId="3" r:id="rId3"/>
  </sheets>
  <definedNames>
    <definedName name="_xlnm.Print_Area" localSheetId="0">'Budget Update Summary'!$A$1:$Q$46</definedName>
    <definedName name="_xlnm.Print_Area" localSheetId="2">'Budget vs Actual w History'!$A$1:$K$79</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6" i="4" l="1"/>
  <c r="V56" i="4"/>
  <c r="U56" i="4"/>
  <c r="P73" i="4"/>
  <c r="P71" i="4"/>
  <c r="P70" i="4"/>
  <c r="P69" i="4"/>
  <c r="P68" i="4"/>
  <c r="P59" i="4"/>
  <c r="P58" i="4"/>
  <c r="P57" i="4"/>
  <c r="P56" i="4"/>
  <c r="P54" i="4"/>
  <c r="P53" i="4"/>
  <c r="I64" i="3"/>
  <c r="G15" i="3"/>
  <c r="J63" i="3"/>
  <c r="J61" i="3"/>
  <c r="J60" i="3"/>
  <c r="J59" i="3"/>
  <c r="J58" i="3"/>
  <c r="J56" i="3"/>
  <c r="J55" i="3"/>
  <c r="J54" i="3"/>
  <c r="J51" i="3"/>
  <c r="J50" i="3"/>
  <c r="J49" i="3"/>
  <c r="J48" i="3"/>
  <c r="J47" i="3"/>
  <c r="J46" i="3"/>
  <c r="J45" i="3"/>
  <c r="J44" i="3"/>
  <c r="J43" i="3"/>
  <c r="J42" i="3"/>
  <c r="J41" i="3"/>
  <c r="J37" i="3"/>
  <c r="J36" i="3"/>
  <c r="J34" i="3"/>
  <c r="J32" i="3"/>
  <c r="J26" i="3"/>
  <c r="J25" i="3"/>
  <c r="J24" i="3"/>
  <c r="J23" i="3"/>
  <c r="J22" i="3"/>
  <c r="J21" i="3"/>
  <c r="J20" i="3"/>
  <c r="J18" i="3"/>
  <c r="J17" i="3"/>
  <c r="J16" i="3"/>
  <c r="J15" i="3"/>
  <c r="J14" i="3"/>
  <c r="J8" i="3"/>
  <c r="J7" i="3"/>
  <c r="J5" i="3"/>
  <c r="J4" i="3"/>
  <c r="K63" i="3"/>
  <c r="K61" i="3"/>
  <c r="K60" i="3"/>
  <c r="K59" i="3"/>
  <c r="K58" i="3"/>
  <c r="K56" i="3"/>
  <c r="K55" i="3"/>
  <c r="K54" i="3"/>
  <c r="K53" i="3"/>
  <c r="K52" i="3"/>
  <c r="K51" i="3"/>
  <c r="K50" i="3"/>
  <c r="K49" i="3"/>
  <c r="K48" i="3"/>
  <c r="K47" i="3"/>
  <c r="K46" i="3"/>
  <c r="K45" i="3"/>
  <c r="K44" i="3"/>
  <c r="K43" i="3"/>
  <c r="K42" i="3"/>
  <c r="K41" i="3"/>
  <c r="K37" i="3"/>
  <c r="K36" i="3"/>
  <c r="K34" i="3"/>
  <c r="K33" i="3"/>
  <c r="K32" i="3"/>
  <c r="K26" i="3"/>
  <c r="K25" i="3"/>
  <c r="K24" i="3"/>
  <c r="K23" i="3"/>
  <c r="K22" i="3"/>
  <c r="K21" i="3"/>
  <c r="K20" i="3"/>
  <c r="K18" i="3"/>
  <c r="K17" i="3"/>
  <c r="K16" i="3"/>
  <c r="K15" i="3"/>
  <c r="K8" i="3"/>
  <c r="K7" i="3"/>
  <c r="K5" i="3"/>
  <c r="K4" i="3"/>
  <c r="I52" i="3"/>
  <c r="I53" i="3" s="1"/>
  <c r="J53" i="3" s="1"/>
  <c r="I33" i="3"/>
  <c r="J33" i="3" s="1"/>
  <c r="G66" i="3"/>
  <c r="J66" i="3" s="1"/>
  <c r="G65" i="3"/>
  <c r="G38" i="3"/>
  <c r="K38" i="3" s="1"/>
  <c r="G39" i="3"/>
  <c r="G64" i="3" s="1"/>
  <c r="K64" i="3" s="1"/>
  <c r="G62" i="3"/>
  <c r="J62" i="3" s="1"/>
  <c r="G57" i="3"/>
  <c r="K57" i="3" s="1"/>
  <c r="G13" i="3"/>
  <c r="G19" i="3" s="1"/>
  <c r="G28" i="3" s="1"/>
  <c r="G29" i="3" s="1"/>
  <c r="F12" i="3"/>
  <c r="G12" i="3"/>
  <c r="G35" i="3"/>
  <c r="G31" i="3"/>
  <c r="G27" i="3"/>
  <c r="G9" i="3"/>
  <c r="G6" i="3"/>
  <c r="P63" i="4" l="1"/>
  <c r="P64" i="4"/>
  <c r="P65" i="4"/>
  <c r="P62" i="4"/>
  <c r="P60" i="4"/>
  <c r="P66" i="4" s="1"/>
  <c r="J38" i="3"/>
  <c r="K62" i="3"/>
  <c r="K39" i="3"/>
  <c r="K66" i="3"/>
  <c r="J57" i="3"/>
  <c r="J52" i="3"/>
  <c r="J39" i="3"/>
  <c r="K13" i="3"/>
  <c r="G40" i="3"/>
  <c r="G10" i="3"/>
  <c r="G67" i="3"/>
  <c r="X56" i="4" l="1"/>
  <c r="P74" i="4"/>
  <c r="G68" i="3"/>
  <c r="G71" i="3"/>
  <c r="G69" i="3"/>
  <c r="Q71" i="4"/>
  <c r="Q69" i="4"/>
  <c r="Q59" i="4"/>
  <c r="Q54" i="4"/>
  <c r="Q53" i="4"/>
  <c r="G72" i="3" l="1"/>
  <c r="G74" i="3" s="1"/>
  <c r="N85" i="4"/>
  <c r="Q83" i="4"/>
  <c r="O85" i="4"/>
  <c r="Q65" i="4"/>
  <c r="M85" i="4"/>
  <c r="P85" i="4"/>
  <c r="Q85" i="4"/>
  <c r="P82" i="4"/>
  <c r="N82" i="4"/>
  <c r="M82" i="4"/>
  <c r="P83" i="4"/>
  <c r="O82" i="4"/>
  <c r="B68" i="5"/>
  <c r="S71" i="4"/>
  <c r="S59" i="4"/>
  <c r="S54" i="4"/>
  <c r="S53" i="4"/>
  <c r="B32" i="5" l="1"/>
  <c r="B66" i="5"/>
  <c r="B6" i="5"/>
  <c r="B5" i="5"/>
  <c r="B3" i="5"/>
  <c r="B2" i="5"/>
  <c r="F45" i="3" l="1"/>
  <c r="F64" i="3"/>
  <c r="B65" i="3"/>
  <c r="C65" i="3"/>
  <c r="D65" i="3"/>
  <c r="E65" i="3"/>
  <c r="F65" i="3"/>
  <c r="C67" i="3"/>
  <c r="F40" i="3"/>
  <c r="F35" i="3"/>
  <c r="B67" i="3" l="1"/>
  <c r="K67" i="3" s="1"/>
  <c r="K65" i="3"/>
  <c r="F67" i="3"/>
  <c r="F68" i="3" s="1"/>
  <c r="F31" i="3"/>
  <c r="F27" i="3"/>
  <c r="F19" i="3"/>
  <c r="F9" i="3"/>
  <c r="F6" i="3"/>
  <c r="B65" i="5"/>
  <c r="B37" i="5"/>
  <c r="B25" i="5"/>
  <c r="B17" i="5"/>
  <c r="B26" i="5" s="1"/>
  <c r="B7" i="5"/>
  <c r="B4" i="5"/>
  <c r="F69" i="3" l="1"/>
  <c r="X59" i="4"/>
  <c r="J64" i="3"/>
  <c r="P84" i="4"/>
  <c r="B8" i="5"/>
  <c r="F10" i="3"/>
  <c r="F28" i="3"/>
  <c r="E35" i="3"/>
  <c r="D35" i="3"/>
  <c r="C35" i="3"/>
  <c r="B35" i="3"/>
  <c r="K35" i="3" s="1"/>
  <c r="I35" i="3"/>
  <c r="K31" i="3"/>
  <c r="K12" i="3"/>
  <c r="E66" i="3"/>
  <c r="D66" i="3"/>
  <c r="E38" i="3"/>
  <c r="D38" i="3"/>
  <c r="D40" i="3" s="1"/>
  <c r="D64" i="3"/>
  <c r="E64" i="3"/>
  <c r="E39" i="3"/>
  <c r="J31" i="3"/>
  <c r="I31" i="3"/>
  <c r="C31" i="3"/>
  <c r="D31" i="3"/>
  <c r="E31" i="3"/>
  <c r="B31" i="3"/>
  <c r="J12" i="3"/>
  <c r="I12" i="3"/>
  <c r="C12" i="3"/>
  <c r="D12" i="3"/>
  <c r="E12" i="3"/>
  <c r="B12" i="3"/>
  <c r="I65" i="3"/>
  <c r="J65" i="3" s="1"/>
  <c r="I40" i="3"/>
  <c r="C40" i="3"/>
  <c r="B40" i="3"/>
  <c r="K40" i="3" s="1"/>
  <c r="I27" i="3"/>
  <c r="E27" i="3"/>
  <c r="D27" i="3"/>
  <c r="C27" i="3"/>
  <c r="B27" i="3"/>
  <c r="K27" i="3" s="1"/>
  <c r="C14" i="3"/>
  <c r="B14" i="3"/>
  <c r="K14" i="3" s="1"/>
  <c r="I9" i="3"/>
  <c r="I13" i="3" s="1"/>
  <c r="E9" i="3"/>
  <c r="D9" i="3"/>
  <c r="C9" i="3"/>
  <c r="B9" i="3"/>
  <c r="K9" i="3" s="1"/>
  <c r="I6" i="3"/>
  <c r="J6" i="3" s="1"/>
  <c r="E6" i="3"/>
  <c r="D6" i="3"/>
  <c r="C6" i="3"/>
  <c r="B6" i="3"/>
  <c r="K6" i="3" s="1"/>
  <c r="J35" i="3" l="1"/>
  <c r="Q56" i="4"/>
  <c r="J40" i="3"/>
  <c r="Q57" i="4"/>
  <c r="C19" i="3"/>
  <c r="Q58" i="4"/>
  <c r="X58" i="4"/>
  <c r="X60" i="4"/>
  <c r="X57" i="4"/>
  <c r="J27" i="3"/>
  <c r="Q70" i="4"/>
  <c r="S70" i="4" s="1"/>
  <c r="J9" i="3"/>
  <c r="Q68" i="4"/>
  <c r="E40" i="3"/>
  <c r="D67" i="3"/>
  <c r="D68" i="3" s="1"/>
  <c r="B68" i="3"/>
  <c r="K68" i="3" s="1"/>
  <c r="E67" i="3"/>
  <c r="B19" i="3"/>
  <c r="K19" i="3" s="1"/>
  <c r="M84" i="4"/>
  <c r="D14" i="3"/>
  <c r="N84" i="4"/>
  <c r="E14" i="3"/>
  <c r="O84" i="4"/>
  <c r="D10" i="3"/>
  <c r="I67" i="3"/>
  <c r="F29" i="3"/>
  <c r="F71" i="3"/>
  <c r="F72" i="3"/>
  <c r="I10" i="3"/>
  <c r="J10" i="3" s="1"/>
  <c r="E10" i="3"/>
  <c r="C68" i="3"/>
  <c r="B10" i="3"/>
  <c r="K10" i="3" s="1"/>
  <c r="C10" i="3"/>
  <c r="C28" i="3"/>
  <c r="S68" i="4" l="1"/>
  <c r="Q82" i="4"/>
  <c r="S57" i="4"/>
  <c r="Q63" i="4"/>
  <c r="Y57" i="4"/>
  <c r="C69" i="3"/>
  <c r="D69" i="3"/>
  <c r="Q84" i="4"/>
  <c r="S56" i="4"/>
  <c r="Q62" i="4"/>
  <c r="J13" i="3"/>
  <c r="E68" i="3"/>
  <c r="E71" i="3" s="1"/>
  <c r="S58" i="4"/>
  <c r="Q64" i="4"/>
  <c r="M83" i="4"/>
  <c r="S69" i="4"/>
  <c r="I68" i="3"/>
  <c r="Q60" i="4" s="1"/>
  <c r="Y56" i="4" s="1"/>
  <c r="J67" i="3"/>
  <c r="B69" i="3"/>
  <c r="K69" i="3" s="1"/>
  <c r="B28" i="3"/>
  <c r="F74" i="3"/>
  <c r="I19" i="3"/>
  <c r="J19" i="3" s="1"/>
  <c r="D19" i="3"/>
  <c r="D28" i="3" s="1"/>
  <c r="D72" i="3" s="1"/>
  <c r="D74" i="3" s="1"/>
  <c r="N83" i="4"/>
  <c r="E19" i="3"/>
  <c r="E28" i="3" s="1"/>
  <c r="O83" i="4"/>
  <c r="C71" i="3"/>
  <c r="B71" i="3"/>
  <c r="K71" i="3" s="1"/>
  <c r="D71" i="3"/>
  <c r="C72" i="3"/>
  <c r="C74" i="3" s="1"/>
  <c r="C29" i="3"/>
  <c r="Q74" i="4" l="1"/>
  <c r="S63" i="4"/>
  <c r="E69" i="3"/>
  <c r="Y58" i="4"/>
  <c r="S64" i="4"/>
  <c r="V60" i="4"/>
  <c r="V58" i="4"/>
  <c r="V57" i="4"/>
  <c r="V59" i="4"/>
  <c r="Q66" i="4"/>
  <c r="S60" i="4"/>
  <c r="Y60" i="4"/>
  <c r="Y59" i="4"/>
  <c r="S62" i="4"/>
  <c r="U60" i="4"/>
  <c r="U57" i="4"/>
  <c r="U58" i="4"/>
  <c r="U59" i="4"/>
  <c r="B29" i="3"/>
  <c r="K29" i="3" s="1"/>
  <c r="K28" i="3"/>
  <c r="B72" i="3"/>
  <c r="I69" i="3"/>
  <c r="J69" i="3" s="1"/>
  <c r="J68" i="3"/>
  <c r="I28" i="3"/>
  <c r="Q73" i="4" s="1"/>
  <c r="E29" i="3"/>
  <c r="E72" i="3"/>
  <c r="E74" i="3" s="1"/>
  <c r="D29" i="3"/>
  <c r="I71" i="3"/>
  <c r="J71" i="3" s="1"/>
  <c r="Q78" i="4" l="1"/>
  <c r="S74" i="4"/>
  <c r="Q77" i="4"/>
  <c r="W60" i="4"/>
  <c r="W58" i="4"/>
  <c r="W59" i="4"/>
  <c r="W57" i="4"/>
  <c r="S66" i="4"/>
  <c r="S73" i="4"/>
  <c r="I72" i="3"/>
  <c r="J72" i="3" s="1"/>
  <c r="J28" i="3"/>
  <c r="B74" i="3"/>
  <c r="K74" i="3" s="1"/>
  <c r="K72" i="3"/>
  <c r="I29" i="3"/>
  <c r="J29" i="3" s="1"/>
  <c r="I74" i="3" l="1"/>
  <c r="J74" i="3" l="1"/>
  <c r="B70" i="5"/>
</calcChain>
</file>

<file path=xl/comments1.xml><?xml version="1.0" encoding="utf-8"?>
<comments xmlns="http://schemas.openxmlformats.org/spreadsheetml/2006/main">
  <authors>
    <author>Toney Randall</author>
    <author>Toney Charlie</author>
  </authors>
  <commentList>
    <comment ref="I13" authorId="0" shapeId="0">
      <text>
        <r>
          <rPr>
            <b/>
            <sz val="9"/>
            <color indexed="81"/>
            <rFont val="Tahoma"/>
            <charset val="1"/>
          </rPr>
          <t>Toney Randall:</t>
        </r>
        <r>
          <rPr>
            <sz val="9"/>
            <color indexed="81"/>
            <rFont val="Tahoma"/>
            <charset val="1"/>
          </rPr>
          <t xml:space="preserve">
2020 traget based on $150 per adoption (2017-2019 avg revenue per adoption).
</t>
        </r>
      </text>
    </comment>
    <comment ref="I37" authorId="1" shapeId="0">
      <text>
        <r>
          <rPr>
            <b/>
            <sz val="9"/>
            <color indexed="81"/>
            <rFont val="Tahoma"/>
            <charset val="1"/>
          </rPr>
          <t>Toney Charlie:</t>
        </r>
        <r>
          <rPr>
            <sz val="9"/>
            <color indexed="81"/>
            <rFont val="Tahoma"/>
            <charset val="1"/>
          </rPr>
          <t xml:space="preserve">
Microships purchased in bulk, projected bulk order to be made in June 2020.</t>
        </r>
      </text>
    </comment>
    <comment ref="I52" authorId="1" shapeId="0">
      <text>
        <r>
          <rPr>
            <b/>
            <sz val="9"/>
            <color indexed="81"/>
            <rFont val="Tahoma"/>
            <charset val="1"/>
          </rPr>
          <t>Toney Charlie:</t>
        </r>
        <r>
          <rPr>
            <sz val="9"/>
            <color indexed="81"/>
            <rFont val="Tahoma"/>
            <charset val="1"/>
          </rPr>
          <t xml:space="preserve">
Projected based on staff assignmnets and salary projections from 10/1/2019 plus 5% projected pay raise effective 4/1/20.</t>
        </r>
      </text>
    </comment>
    <comment ref="I53" authorId="1" shapeId="0">
      <text>
        <r>
          <rPr>
            <b/>
            <sz val="9"/>
            <color indexed="81"/>
            <rFont val="Tahoma"/>
            <charset val="1"/>
          </rPr>
          <t>Toney Charlie:</t>
        </r>
        <r>
          <rPr>
            <sz val="9"/>
            <color indexed="81"/>
            <rFont val="Tahoma"/>
            <charset val="1"/>
          </rPr>
          <t xml:space="preserve">
Using 6.05% payroll tax assumption.</t>
        </r>
      </text>
    </comment>
  </commentList>
</comments>
</file>

<file path=xl/sharedStrings.xml><?xml version="1.0" encoding="utf-8"?>
<sst xmlns="http://schemas.openxmlformats.org/spreadsheetml/2006/main" count="228" uniqueCount="143">
  <si>
    <t>Budget Notes</t>
  </si>
  <si>
    <t>Volumes</t>
  </si>
  <si>
    <t>2015 Actual</t>
  </si>
  <si>
    <t>2016 Actual</t>
  </si>
  <si>
    <t>2017 Actual</t>
  </si>
  <si>
    <t xml:space="preserve">     Total Dog Intakes</t>
  </si>
  <si>
    <t xml:space="preserve">     Total Cat Intakes</t>
  </si>
  <si>
    <t>Total Intake</t>
  </si>
  <si>
    <t xml:space="preserve">     Total Dog Adoptions</t>
  </si>
  <si>
    <t xml:space="preserve">     Total Cat Adoptions</t>
  </si>
  <si>
    <t>Total Adoptions</t>
  </si>
  <si>
    <t>Net Volumes</t>
  </si>
  <si>
    <t>Revenue</t>
  </si>
  <si>
    <t xml:space="preserve">     Donations</t>
  </si>
  <si>
    <t xml:space="preserve">     Grants</t>
  </si>
  <si>
    <t>$20k + $30k Petco grants in Q1 '19 already</t>
  </si>
  <si>
    <t xml:space="preserve">     Spay / Neuter Deposits</t>
  </si>
  <si>
    <t xml:space="preserve">     Interest Income</t>
  </si>
  <si>
    <t xml:space="preserve">     Vetting Paid By Others</t>
  </si>
  <si>
    <t>Contributions</t>
  </si>
  <si>
    <t>Donated Equipment</t>
  </si>
  <si>
    <t xml:space="preserve">     The Big Payback</t>
  </si>
  <si>
    <t xml:space="preserve">     Golf Scramble</t>
  </si>
  <si>
    <t>$40k in 2018</t>
  </si>
  <si>
    <t xml:space="preserve">     Christmas Letter</t>
  </si>
  <si>
    <t>$16k for 2018</t>
  </si>
  <si>
    <r>
      <t xml:space="preserve">     </t>
    </r>
    <r>
      <rPr>
        <sz val="11"/>
        <color theme="1"/>
        <rFont val="Arial"/>
        <family val="2"/>
      </rPr>
      <t>12:10 &amp; Targeted Fundraising</t>
    </r>
  </si>
  <si>
    <t xml:space="preserve">     Third-party Fundraisers</t>
  </si>
  <si>
    <t>$5,500 via Southern Grist Anniversary party in Q1 '19</t>
  </si>
  <si>
    <t xml:space="preserve">     Pup Quiz for Proverbs</t>
  </si>
  <si>
    <t>Fundraiser Income</t>
  </si>
  <si>
    <t>TOTAL REVENUE *</t>
  </si>
  <si>
    <t>Expenses</t>
  </si>
  <si>
    <t>Fundraising Expenses</t>
  </si>
  <si>
    <t xml:space="preserve">     ID Tags</t>
  </si>
  <si>
    <t xml:space="preserve">     Microchip</t>
  </si>
  <si>
    <t>Need to discuss grant status with Alan</t>
  </si>
  <si>
    <t xml:space="preserve">     Food  </t>
  </si>
  <si>
    <t xml:space="preserve">     Medication &amp; Vaccines</t>
  </si>
  <si>
    <t>Supplies Expense</t>
  </si>
  <si>
    <t xml:space="preserve">     Advertising</t>
  </si>
  <si>
    <t xml:space="preserve">     Bad Debts</t>
  </si>
  <si>
    <t xml:space="preserve">     Bank Charges</t>
  </si>
  <si>
    <t>Includes PayPal &amp; Rescue.org fees</t>
  </si>
  <si>
    <t xml:space="preserve">     Boarding</t>
  </si>
  <si>
    <t xml:space="preserve">     Depareciation Exp</t>
  </si>
  <si>
    <t>**This is the Depreciation Expense @ 6 months (total for this year = $9,013.00)</t>
  </si>
  <si>
    <t xml:space="preserve">     Dues &amp; Subscriptions</t>
  </si>
  <si>
    <t xml:space="preserve">     Grooming</t>
  </si>
  <si>
    <t xml:space="preserve">     Insurance</t>
  </si>
  <si>
    <t>*Workers Comp $2,294 ; Animal Welfare &amp; Liability $3,744</t>
  </si>
  <si>
    <t xml:space="preserve">     Office Expense</t>
  </si>
  <si>
    <t xml:space="preserve">     Outside Services</t>
  </si>
  <si>
    <t xml:space="preserve">     Payroll &amp; Benefits **</t>
  </si>
  <si>
    <t xml:space="preserve">     Payroll Taxes</t>
  </si>
  <si>
    <t xml:space="preserve">     Postage &amp; Freight</t>
  </si>
  <si>
    <t xml:space="preserve">     Professional Fees</t>
  </si>
  <si>
    <t>Includes $7,500 for Independent Audit</t>
  </si>
  <si>
    <t xml:space="preserve">     Repairs &amp; Maintenance</t>
  </si>
  <si>
    <t>This was included in Sanctuary Expenses last year</t>
  </si>
  <si>
    <t xml:space="preserve">     Sanctuary Expenses ***</t>
  </si>
  <si>
    <t>Cleaning Supplies, Bedding &amp; Utilities</t>
  </si>
  <si>
    <t xml:space="preserve">     Spay / Neuter Refunds</t>
  </si>
  <si>
    <t xml:space="preserve">     Storage Bldg.</t>
  </si>
  <si>
    <t>Rent &amp; Storage Bldg</t>
  </si>
  <si>
    <t xml:space="preserve">     Taxes &amp; Licenses</t>
  </si>
  <si>
    <t xml:space="preserve">     Telephone</t>
  </si>
  <si>
    <t xml:space="preserve">     Trainers / Behavior Experts</t>
  </si>
  <si>
    <t>Discuss line item with Alan</t>
  </si>
  <si>
    <t xml:space="preserve">     Transport</t>
  </si>
  <si>
    <t xml:space="preserve">     Travel</t>
  </si>
  <si>
    <t xml:space="preserve">     Veterinary</t>
  </si>
  <si>
    <t xml:space="preserve">     Veterinary (Paid By Others)</t>
  </si>
  <si>
    <t xml:space="preserve">     All Other Expenses</t>
  </si>
  <si>
    <t>Supplies, Security Coverage during threats; reimb loan to cover payroll</t>
  </si>
  <si>
    <t>Total Operating Expenses</t>
  </si>
  <si>
    <t xml:space="preserve">          TOTAL EXPENSES</t>
  </si>
  <si>
    <t>NET REVENUE</t>
  </si>
  <si>
    <t>NET CASH FLOW</t>
  </si>
  <si>
    <t>*** As a no-kill rescue, we provide a loving sanctuary for all unadoptable</t>
  </si>
  <si>
    <t xml:space="preserve"> animals (due to age, illness, etc.) for as long as they live</t>
  </si>
  <si>
    <t xml:space="preserve">     Includes Building &amp; Turn-out Maintenance, Bedding, Cleaning Supplies, Electric</t>
  </si>
  <si>
    <t>2018 Actual</t>
  </si>
  <si>
    <t xml:space="preserve">     Adoptions</t>
  </si>
  <si>
    <t>Less Donated Vetting &amp; Equip</t>
  </si>
  <si>
    <t>Donated Supplies</t>
  </si>
  <si>
    <t xml:space="preserve">     Telephone &amp; Information Tech</t>
  </si>
  <si>
    <t>% Expenditures Direct to Animal Welfare</t>
  </si>
  <si>
    <t>% Expenditures Allocated to Salaries</t>
  </si>
  <si>
    <t>Grants</t>
  </si>
  <si>
    <t>Fundraising</t>
  </si>
  <si>
    <t>Donations</t>
  </si>
  <si>
    <t>Adoption Fees</t>
  </si>
  <si>
    <t>Other OpEx per Adoption</t>
  </si>
  <si>
    <t>Vet Expense per Adoption</t>
  </si>
  <si>
    <t>Supply Expense per Adoption</t>
  </si>
  <si>
    <t>Fundraising Expense per Adoption</t>
  </si>
  <si>
    <t>Other Operating Expense</t>
  </si>
  <si>
    <t>Veterinary Expense</t>
  </si>
  <si>
    <t>Fundraising Expense</t>
  </si>
  <si>
    <t>Cat Adoptions</t>
  </si>
  <si>
    <t>Dog Adoptions</t>
  </si>
  <si>
    <t>Net Income</t>
  </si>
  <si>
    <t>Total Expense</t>
  </si>
  <si>
    <t>Total Revenue</t>
  </si>
  <si>
    <t>Adoption Income</t>
  </si>
  <si>
    <t>Key Metrics</t>
  </si>
  <si>
    <t>Proverbs 12:10 Animal Rescue - 5 Year Review</t>
  </si>
  <si>
    <t>2019 Actual</t>
  </si>
  <si>
    <t>2020 Budget
(Proposed)</t>
  </si>
  <si>
    <t>Net Cash Flow</t>
  </si>
  <si>
    <t>% Expense Direct to Animal Welfare</t>
  </si>
  <si>
    <t>2020 Bud</t>
  </si>
  <si>
    <t>Salary Expense</t>
  </si>
  <si>
    <t>Percentages</t>
  </si>
  <si>
    <t>Financial Category</t>
  </si>
  <si>
    <t>Current Commentary</t>
  </si>
  <si>
    <t>5 Yr CAGR</t>
  </si>
  <si>
    <t>Adoption Fees per Adoption</t>
  </si>
  <si>
    <t>Donations Per Adoption</t>
  </si>
  <si>
    <t>Fundraising $$ Per Adoption</t>
  </si>
  <si>
    <t>Salary Expense per Adoption</t>
  </si>
  <si>
    <t>Grant $$ Per Adoption</t>
  </si>
  <si>
    <t>Direct Animal Care Expenses</t>
  </si>
  <si>
    <t>Payroll Expense</t>
  </si>
  <si>
    <t>N/A</t>
  </si>
  <si>
    <r>
      <rPr>
        <b/>
        <sz val="11"/>
        <color theme="1"/>
        <rFont val="Calibri"/>
        <family val="2"/>
        <scheme val="minor"/>
      </rPr>
      <t>Adoption Income:</t>
    </r>
    <r>
      <rPr>
        <sz val="11"/>
        <color theme="1"/>
        <rFont val="Calibri"/>
        <family val="2"/>
        <scheme val="minor"/>
      </rPr>
      <t xml:space="preserve"> Adoption revenue is running favorable to budget due to higher than anticipated adoption volumes (Avg greater than $150 due to timing of spay/neuter refunds)</t>
    </r>
  </si>
  <si>
    <r>
      <rPr>
        <b/>
        <sz val="11"/>
        <color theme="1"/>
        <rFont val="Calibri"/>
        <family val="2"/>
        <scheme val="minor"/>
      </rPr>
      <t>Fundraising Income:</t>
    </r>
    <r>
      <rPr>
        <sz val="11"/>
        <color theme="1"/>
        <rFont val="Calibri"/>
        <family val="2"/>
        <scheme val="minor"/>
      </rPr>
      <t xml:space="preserve"> Currently projected fundraiser income assumes only 1 more fundraising event for 2020 (Golf Scramble) Will generate $42k in 2020.</t>
    </r>
  </si>
  <si>
    <r>
      <rPr>
        <b/>
        <sz val="11"/>
        <color theme="1"/>
        <rFont val="Calibri"/>
        <family val="2"/>
        <scheme val="minor"/>
      </rPr>
      <t>Salary Expense:</t>
    </r>
    <r>
      <rPr>
        <sz val="11"/>
        <color theme="1"/>
        <rFont val="Calibri"/>
        <family val="2"/>
        <scheme val="minor"/>
      </rPr>
      <t xml:space="preserve"> 2020 Salary budget included assumed 5% pay increase for staff effective 4/1/20. However, addition of new PT foster coordinator was unbudgeted; this addition is driving budget variance for this line item.</t>
    </r>
  </si>
  <si>
    <r>
      <rPr>
        <b/>
        <sz val="11"/>
        <color theme="1"/>
        <rFont val="Calibri"/>
        <family val="2"/>
        <scheme val="minor"/>
      </rPr>
      <t>Veterinary Expense:</t>
    </r>
    <r>
      <rPr>
        <sz val="11"/>
        <color theme="1"/>
        <rFont val="Calibri"/>
        <family val="2"/>
        <scheme val="minor"/>
      </rPr>
      <t xml:space="preserve"> Veterinary expenses per dog/cat intake has remained relatively consistent with 2019. Die to high acuity vet cases and increased volumes this expense is projected much higher than budgeted.</t>
    </r>
  </si>
  <si>
    <r>
      <rPr>
        <b/>
        <sz val="11"/>
        <color theme="1"/>
        <rFont val="Calibri"/>
        <family val="2"/>
        <scheme val="minor"/>
      </rPr>
      <t>Grants:</t>
    </r>
    <r>
      <rPr>
        <sz val="11"/>
        <color theme="1"/>
        <rFont val="Calibri"/>
        <family val="2"/>
        <scheme val="minor"/>
      </rPr>
      <t xml:space="preserve"> Received 2020 Petco Foundation grant ($20k); prjection assumes $20k in additional grants from various sources for remainder of the year.</t>
    </r>
  </si>
  <si>
    <r>
      <rPr>
        <b/>
        <sz val="11"/>
        <color theme="1"/>
        <rFont val="Calibri"/>
        <family val="2"/>
        <scheme val="minor"/>
      </rPr>
      <t>Other Opex Highlights:</t>
    </r>
    <r>
      <rPr>
        <sz val="11"/>
        <color theme="1"/>
        <rFont val="Calibri"/>
        <family val="2"/>
        <scheme val="minor"/>
      </rPr>
      <t xml:space="preserve"> 2020 Projection includes $41,493 in reduced expenditures (offsets) from PPP loan received (assumes loan forgiveness based on accountant feedback). Current 2020 projection includes no net cost for cat sanctuary (assumes grants will cover this in full ~$20k from Lavonne).</t>
    </r>
  </si>
  <si>
    <t xml:space="preserve"> - Cash reserve account is currently in good shape, but ongoing negative trend for each animal adopted out will result in continued margin erosion absent expense trend mitigation.</t>
  </si>
  <si>
    <r>
      <rPr>
        <b/>
        <sz val="11"/>
        <color theme="1"/>
        <rFont val="Calibri"/>
        <family val="2"/>
        <scheme val="minor"/>
      </rPr>
      <t>Donation Income:</t>
    </r>
    <r>
      <rPr>
        <sz val="11"/>
        <color theme="1"/>
        <rFont val="Calibri"/>
        <family val="2"/>
        <scheme val="minor"/>
      </rPr>
      <t xml:space="preserve"> Donation revenue trend has decreased significantly since mid February (prior to COVID-19); This decreased revenue from PayPal, Facebook and other in person donations is key driver of overall budget variance.</t>
    </r>
  </si>
  <si>
    <t>2020 Actual</t>
  </si>
  <si>
    <t>2021 Budget</t>
  </si>
  <si>
    <t>2021 vs 2020 Growth %</t>
  </si>
  <si>
    <t>2015 - 2020 CAGR</t>
  </si>
  <si>
    <t>2021 Budget Proposal</t>
  </si>
  <si>
    <t>Variance to 2020</t>
  </si>
  <si>
    <t xml:space="preserve">     Third-Party Fundraisers</t>
  </si>
  <si>
    <t xml:space="preserve">     Other Income</t>
  </si>
  <si>
    <t>2021 Bud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</si>
</sst>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quot;$&quot;#,##0.00_);[Red]\(&quot;$&quot;#,##0.00\)"/>
    <numFmt numFmtId="44" formatCode="_(&quot;$&quot;* #,##0.00_);_(&quot;$&quot;* \(#,##0.00\);_(&quot;$&quot;* &quot;-&quot;??_);_(@_)"/>
    <numFmt numFmtId="43" formatCode="_(* #,##0.00_);_(* \(#,##0.00\);_(* &quot;-&quot;??_);_(@_)"/>
    <numFmt numFmtId="164" formatCode="_(* #,##0_);_(* \(#,##0\);_(* &quot;-&quot;??_);_(@_)"/>
    <numFmt numFmtId="165" formatCode="_(* #,##0.0000_);_(* \(#,##0.0000\);_(* &quot;-&quot;??_);_(@_)"/>
    <numFmt numFmtId="166" formatCode="_(* #,##0.00000_);_(* \(#,##0.00000\);_(* &quot;-&quot;??_);_(@_)"/>
    <numFmt numFmtId="167" formatCode="&quot;$&quot;#,##0"/>
    <numFmt numFmtId="168" formatCode="0.0%"/>
  </numFmts>
  <fonts count="19" x14ac:knownFonts="1">
    <font>
      <sz val="11"/>
      <color theme="1"/>
      <name val="Calibri"/>
      <family val="2"/>
      <scheme val="minor"/>
    </font>
    <font>
      <sz val="11"/>
      <color theme="1"/>
      <name val="Calibri"/>
      <family val="2"/>
      <scheme val="minor"/>
    </font>
    <font>
      <b/>
      <sz val="12"/>
      <color theme="0"/>
      <name val="Arial"/>
      <family val="2"/>
    </font>
    <font>
      <b/>
      <sz val="12"/>
      <color theme="1"/>
      <name val="Arial"/>
      <family val="2"/>
    </font>
    <font>
      <sz val="12"/>
      <color theme="0"/>
      <name val="Arial"/>
      <family val="2"/>
    </font>
    <font>
      <sz val="12"/>
      <color theme="1"/>
      <name val="Arial"/>
      <family val="2"/>
    </font>
    <font>
      <sz val="11"/>
      <color theme="1"/>
      <name val="Arial"/>
      <family val="2"/>
    </font>
    <font>
      <b/>
      <sz val="12"/>
      <name val="Arial"/>
      <family val="2"/>
    </font>
    <font>
      <sz val="10"/>
      <color theme="1"/>
      <name val="Arial"/>
      <family val="2"/>
    </font>
    <font>
      <b/>
      <sz val="9"/>
      <color indexed="81"/>
      <name val="Tahoma"/>
      <charset val="1"/>
    </font>
    <font>
      <sz val="9"/>
      <color indexed="81"/>
      <name val="Tahoma"/>
      <charset val="1"/>
    </font>
    <font>
      <b/>
      <sz val="11"/>
      <color theme="1"/>
      <name val="Calibri"/>
      <family val="2"/>
      <scheme val="minor"/>
    </font>
    <font>
      <b/>
      <sz val="9"/>
      <color theme="1"/>
      <name val="Arial"/>
      <family val="2"/>
    </font>
    <font>
      <b/>
      <sz val="18"/>
      <color theme="1"/>
      <name val="Arial"/>
      <family val="2"/>
    </font>
    <font>
      <b/>
      <sz val="16"/>
      <color theme="1"/>
      <name val="Arial"/>
      <family val="2"/>
    </font>
    <font>
      <b/>
      <sz val="11"/>
      <color rgb="FF00B050"/>
      <name val="Calibri"/>
      <family val="2"/>
      <scheme val="minor"/>
    </font>
    <font>
      <b/>
      <sz val="11"/>
      <color rgb="FFC00000"/>
      <name val="Calibri"/>
      <family val="2"/>
      <scheme val="minor"/>
    </font>
    <font>
      <sz val="11"/>
      <color rgb="FFC00000"/>
      <name val="Calibri"/>
      <family val="2"/>
      <scheme val="minor"/>
    </font>
    <font>
      <sz val="11"/>
      <color rgb="FF00B050"/>
      <name val="Calibri"/>
      <family val="2"/>
      <scheme val="minor"/>
    </font>
  </fonts>
  <fills count="13">
    <fill>
      <patternFill patternType="none"/>
    </fill>
    <fill>
      <patternFill patternType="gray125"/>
    </fill>
    <fill>
      <patternFill patternType="solid">
        <fgColor theme="3"/>
        <bgColor indexed="64"/>
      </patternFill>
    </fill>
    <fill>
      <patternFill patternType="solid">
        <fgColor theme="4"/>
        <bgColor indexed="64"/>
      </patternFill>
    </fill>
    <fill>
      <patternFill patternType="solid">
        <fgColor theme="0" tint="-0.499984740745262"/>
        <bgColor indexed="64"/>
      </patternFill>
    </fill>
    <fill>
      <patternFill patternType="solid">
        <fgColor rgb="FFFFFF66"/>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5F5F5F"/>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theme="0" tint="-4.9989318521683403E-2"/>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53">
    <xf numFmtId="0" fontId="0" fillId="0" borderId="0" xfId="0"/>
    <xf numFmtId="43" fontId="3" fillId="0" borderId="0" xfId="1" applyFont="1" applyFill="1" applyBorder="1" applyAlignment="1">
      <alignment horizontal="center"/>
    </xf>
    <xf numFmtId="43" fontId="4" fillId="2" borderId="0" xfId="1" applyFont="1" applyFill="1"/>
    <xf numFmtId="0" fontId="5" fillId="0" borderId="0" xfId="0" applyFont="1" applyFill="1"/>
    <xf numFmtId="43" fontId="5" fillId="0" borderId="0" xfId="1" applyFont="1" applyFill="1"/>
    <xf numFmtId="0" fontId="5" fillId="0" borderId="0" xfId="0" applyFont="1"/>
    <xf numFmtId="43" fontId="5" fillId="0" borderId="0" xfId="1" applyFont="1" applyFill="1" applyBorder="1"/>
    <xf numFmtId="0" fontId="5" fillId="0" borderId="0" xfId="0" applyFont="1" applyFill="1" applyBorder="1"/>
    <xf numFmtId="0" fontId="5" fillId="0" borderId="0" xfId="0" applyFont="1" applyBorder="1"/>
    <xf numFmtId="0" fontId="2" fillId="3" borderId="6" xfId="0" applyFont="1" applyFill="1" applyBorder="1" applyAlignment="1">
      <alignment horizontal="center" vertical="center"/>
    </xf>
    <xf numFmtId="49" fontId="2" fillId="3" borderId="6" xfId="1" applyNumberFormat="1" applyFont="1" applyFill="1" applyBorder="1" applyAlignment="1">
      <alignment horizontal="center" vertical="center" wrapText="1"/>
    </xf>
    <xf numFmtId="43" fontId="2" fillId="3" borderId="6" xfId="1" applyFont="1" applyFill="1" applyBorder="1" applyAlignment="1">
      <alignment horizontal="center" vertical="center" wrapText="1"/>
    </xf>
    <xf numFmtId="0" fontId="5" fillId="0" borderId="6" xfId="0" applyFont="1" applyFill="1" applyBorder="1" applyAlignment="1">
      <alignment horizontal="left"/>
    </xf>
    <xf numFmtId="164" fontId="5" fillId="0" borderId="6" xfId="1" applyNumberFormat="1" applyFont="1" applyFill="1" applyBorder="1" applyAlignment="1"/>
    <xf numFmtId="0" fontId="3" fillId="6" borderId="6" xfId="0" applyFont="1" applyFill="1" applyBorder="1"/>
    <xf numFmtId="164" fontId="5" fillId="6" borderId="6" xfId="1" applyNumberFormat="1" applyFont="1" applyFill="1" applyBorder="1" applyAlignment="1"/>
    <xf numFmtId="0" fontId="5" fillId="7" borderId="6" xfId="0" applyFont="1" applyFill="1" applyBorder="1" applyAlignment="1">
      <alignment horizontal="center"/>
    </xf>
    <xf numFmtId="164" fontId="5" fillId="7" borderId="6" xfId="1" applyNumberFormat="1" applyFont="1" applyFill="1" applyBorder="1" applyAlignment="1"/>
    <xf numFmtId="0" fontId="5" fillId="0" borderId="4" xfId="0" applyFont="1" applyFill="1" applyBorder="1" applyAlignment="1">
      <alignment horizontal="center"/>
    </xf>
    <xf numFmtId="43" fontId="5" fillId="0" borderId="5" xfId="0" applyNumberFormat="1" applyFont="1" applyFill="1" applyBorder="1" applyAlignment="1">
      <alignment horizontal="center"/>
    </xf>
    <xf numFmtId="164" fontId="5" fillId="0" borderId="5" xfId="0" applyNumberFormat="1" applyFont="1" applyFill="1" applyBorder="1" applyAlignment="1">
      <alignment horizontal="center"/>
    </xf>
    <xf numFmtId="0" fontId="5" fillId="0" borderId="5" xfId="0" applyFont="1" applyFill="1" applyBorder="1" applyAlignment="1">
      <alignment horizontal="center"/>
    </xf>
    <xf numFmtId="0" fontId="5" fillId="0" borderId="0" xfId="0" applyFont="1" applyFill="1" applyBorder="1" applyAlignment="1">
      <alignment horizontal="center"/>
    </xf>
    <xf numFmtId="0" fontId="5" fillId="0" borderId="6" xfId="0" applyFont="1" applyFill="1" applyBorder="1" applyAlignment="1">
      <alignment vertical="center"/>
    </xf>
    <xf numFmtId="40" fontId="5" fillId="0" borderId="6" xfId="1" applyNumberFormat="1" applyFont="1" applyFill="1" applyBorder="1" applyAlignment="1">
      <alignment horizontal="right" vertical="center"/>
    </xf>
    <xf numFmtId="40" fontId="5" fillId="0" borderId="6" xfId="1" applyNumberFormat="1" applyFont="1" applyFill="1" applyBorder="1" applyAlignment="1">
      <alignment horizontal="right"/>
    </xf>
    <xf numFmtId="40" fontId="5" fillId="0" borderId="1" xfId="1" applyNumberFormat="1" applyFont="1" applyFill="1" applyBorder="1" applyAlignment="1">
      <alignment horizontal="right"/>
    </xf>
    <xf numFmtId="0" fontId="5" fillId="0" borderId="6" xfId="0" applyFont="1" applyFill="1" applyBorder="1"/>
    <xf numFmtId="8" fontId="3" fillId="6" borderId="6" xfId="1" applyNumberFormat="1" applyFont="1" applyFill="1" applyBorder="1" applyAlignment="1">
      <alignment horizontal="right" vertical="center"/>
    </xf>
    <xf numFmtId="8" fontId="3" fillId="6" borderId="6" xfId="1" applyNumberFormat="1" applyFont="1" applyFill="1" applyBorder="1" applyAlignment="1">
      <alignment horizontal="right"/>
    </xf>
    <xf numFmtId="8" fontId="3" fillId="6" borderId="1" xfId="1" applyNumberFormat="1" applyFont="1" applyFill="1" applyBorder="1" applyAlignment="1">
      <alignment horizontal="right"/>
    </xf>
    <xf numFmtId="43" fontId="3" fillId="0" borderId="0" xfId="1" applyFont="1" applyFill="1" applyBorder="1"/>
    <xf numFmtId="0" fontId="3" fillId="7" borderId="6" xfId="0" applyFont="1" applyFill="1" applyBorder="1" applyAlignment="1"/>
    <xf numFmtId="8" fontId="3" fillId="7" borderId="6" xfId="1" applyNumberFormat="1" applyFont="1" applyFill="1" applyBorder="1" applyAlignment="1">
      <alignment horizontal="right"/>
    </xf>
    <xf numFmtId="8" fontId="3" fillId="7" borderId="1" xfId="1" applyNumberFormat="1" applyFont="1" applyFill="1" applyBorder="1" applyAlignment="1">
      <alignment horizontal="right"/>
    </xf>
    <xf numFmtId="43" fontId="5" fillId="0" borderId="0" xfId="1" applyFont="1" applyFill="1" applyBorder="1" applyAlignment="1"/>
    <xf numFmtId="0" fontId="5" fillId="0" borderId="0" xfId="0" applyFont="1" applyFill="1" applyAlignment="1"/>
    <xf numFmtId="0" fontId="5" fillId="0" borderId="1" xfId="0" applyFont="1" applyFill="1" applyBorder="1" applyAlignment="1"/>
    <xf numFmtId="0" fontId="5" fillId="0" borderId="3" xfId="0" applyFont="1" applyFill="1" applyBorder="1" applyAlignment="1"/>
    <xf numFmtId="40" fontId="5" fillId="0" borderId="6" xfId="1" applyNumberFormat="1" applyFont="1" applyFill="1" applyBorder="1"/>
    <xf numFmtId="43" fontId="3" fillId="6" borderId="6" xfId="1" applyFont="1" applyFill="1" applyBorder="1"/>
    <xf numFmtId="0" fontId="3" fillId="8" borderId="6" xfId="0" applyFont="1" applyFill="1" applyBorder="1" applyAlignment="1">
      <alignment vertical="center"/>
    </xf>
    <xf numFmtId="8" fontId="3" fillId="8" borderId="6" xfId="1" applyNumberFormat="1" applyFont="1" applyFill="1" applyBorder="1" applyAlignment="1">
      <alignment vertical="center"/>
    </xf>
    <xf numFmtId="43" fontId="3" fillId="8" borderId="6" xfId="1" applyFont="1" applyFill="1" applyBorder="1" applyAlignment="1">
      <alignment vertical="center"/>
    </xf>
    <xf numFmtId="0" fontId="5" fillId="0" borderId="2" xfId="0" applyFont="1" applyFill="1" applyBorder="1"/>
    <xf numFmtId="43" fontId="5" fillId="0" borderId="2" xfId="1" applyFont="1" applyFill="1" applyBorder="1"/>
    <xf numFmtId="0" fontId="3" fillId="5" borderId="6" xfId="0" applyFont="1" applyFill="1" applyBorder="1" applyAlignment="1">
      <alignment horizontal="center" vertical="center"/>
    </xf>
    <xf numFmtId="8" fontId="7" fillId="5" borderId="6" xfId="1" applyNumberFormat="1" applyFont="1" applyFill="1" applyBorder="1" applyAlignment="1">
      <alignment horizontal="right" vertical="center"/>
    </xf>
    <xf numFmtId="43" fontId="7" fillId="4" borderId="6" xfId="1" applyFont="1" applyFill="1" applyBorder="1" applyAlignment="1">
      <alignment horizontal="center" vertical="center"/>
    </xf>
    <xf numFmtId="0" fontId="5" fillId="0" borderId="10" xfId="0" applyFont="1" applyFill="1" applyBorder="1"/>
    <xf numFmtId="43" fontId="5" fillId="0" borderId="10" xfId="1" applyFont="1" applyFill="1" applyBorder="1" applyAlignment="1">
      <alignment horizontal="center" vertical="center"/>
    </xf>
    <xf numFmtId="43" fontId="5" fillId="0" borderId="10" xfId="1" applyFont="1" applyFill="1" applyBorder="1" applyAlignment="1">
      <alignment vertical="center"/>
    </xf>
    <xf numFmtId="43" fontId="5" fillId="0" borderId="10" xfId="1" applyFont="1" applyFill="1" applyBorder="1"/>
    <xf numFmtId="43" fontId="5" fillId="0" borderId="0" xfId="1" applyFont="1"/>
    <xf numFmtId="8" fontId="5" fillId="0" borderId="0" xfId="1" applyNumberFormat="1" applyFont="1"/>
    <xf numFmtId="43" fontId="5" fillId="0" borderId="0" xfId="1" applyFont="1" applyAlignment="1">
      <alignment horizontal="center"/>
    </xf>
    <xf numFmtId="0" fontId="5" fillId="0" borderId="4" xfId="0" applyFont="1" applyFill="1" applyBorder="1" applyAlignment="1">
      <alignment horizontal="center"/>
    </xf>
    <xf numFmtId="0" fontId="5" fillId="0" borderId="4" xfId="0" applyFont="1" applyFill="1" applyBorder="1" applyAlignment="1"/>
    <xf numFmtId="0" fontId="5" fillId="0" borderId="5" xfId="0" applyFont="1" applyFill="1" applyBorder="1" applyAlignment="1"/>
    <xf numFmtId="8" fontId="5" fillId="0" borderId="5" xfId="0" applyNumberFormat="1" applyFont="1" applyFill="1" applyBorder="1" applyAlignment="1"/>
    <xf numFmtId="0" fontId="3" fillId="0" borderId="10" xfId="0" applyFont="1" applyFill="1" applyBorder="1" applyAlignment="1"/>
    <xf numFmtId="8" fontId="3" fillId="0" borderId="10" xfId="1" applyNumberFormat="1" applyFont="1" applyFill="1" applyBorder="1" applyAlignment="1">
      <alignment horizontal="right"/>
    </xf>
    <xf numFmtId="43" fontId="3" fillId="0" borderId="10" xfId="1" applyFont="1" applyFill="1" applyBorder="1" applyAlignment="1">
      <alignment horizontal="center" vertical="center"/>
    </xf>
    <xf numFmtId="40" fontId="5" fillId="0" borderId="5" xfId="0" applyNumberFormat="1" applyFont="1" applyFill="1" applyBorder="1" applyAlignment="1"/>
    <xf numFmtId="165" fontId="5" fillId="0" borderId="0" xfId="0" applyNumberFormat="1" applyFont="1" applyFill="1"/>
    <xf numFmtId="166" fontId="5" fillId="0" borderId="0" xfId="0" applyNumberFormat="1" applyFont="1" applyFill="1"/>
    <xf numFmtId="10" fontId="5" fillId="0" borderId="0" xfId="2" applyNumberFormat="1" applyFont="1" applyFill="1"/>
    <xf numFmtId="43" fontId="5" fillId="0" borderId="5" xfId="1" applyFont="1" applyFill="1" applyBorder="1"/>
    <xf numFmtId="43" fontId="5" fillId="0" borderId="10" xfId="1" applyFont="1" applyFill="1" applyBorder="1" applyAlignment="1">
      <alignment horizontal="center"/>
    </xf>
    <xf numFmtId="0" fontId="3" fillId="0" borderId="10" xfId="0" applyFont="1" applyFill="1" applyBorder="1" applyAlignment="1">
      <alignment horizontal="center" vertical="center" wrapText="1"/>
    </xf>
    <xf numFmtId="10" fontId="3" fillId="0" borderId="10" xfId="2" applyNumberFormat="1" applyFont="1" applyFill="1" applyBorder="1" applyAlignment="1">
      <alignment vertical="center"/>
    </xf>
    <xf numFmtId="43" fontId="5" fillId="0" borderId="0" xfId="1" applyFont="1" applyFill="1" applyBorder="1" applyAlignment="1">
      <alignment horizontal="center" vertical="center"/>
    </xf>
    <xf numFmtId="43" fontId="5" fillId="0" borderId="0" xfId="1" applyFont="1" applyFill="1" applyBorder="1" applyAlignment="1">
      <alignment vertical="center"/>
    </xf>
    <xf numFmtId="8" fontId="5" fillId="0" borderId="0" xfId="1" applyNumberFormat="1" applyFont="1" applyFill="1" applyBorder="1"/>
    <xf numFmtId="0" fontId="3" fillId="0" borderId="5" xfId="0" applyFont="1" applyFill="1" applyBorder="1" applyAlignment="1">
      <alignment horizontal="center" vertical="center" wrapText="1"/>
    </xf>
    <xf numFmtId="10" fontId="3" fillId="0" borderId="5" xfId="2" applyNumberFormat="1" applyFont="1" applyFill="1" applyBorder="1" applyAlignment="1">
      <alignment vertical="center"/>
    </xf>
    <xf numFmtId="44" fontId="0" fillId="0" borderId="0" xfId="3" applyFont="1"/>
    <xf numFmtId="167" fontId="0" fillId="0" borderId="0" xfId="0" applyNumberFormat="1"/>
    <xf numFmtId="0" fontId="0" fillId="0" borderId="6" xfId="0" applyBorder="1" applyAlignment="1">
      <alignment horizontal="center"/>
    </xf>
    <xf numFmtId="167" fontId="0" fillId="0" borderId="0" xfId="0" applyNumberFormat="1" applyAlignment="1">
      <alignment horizontal="right"/>
    </xf>
    <xf numFmtId="167" fontId="0" fillId="0" borderId="0" xfId="0" applyNumberFormat="1" applyBorder="1" applyAlignment="1">
      <alignment horizontal="right"/>
    </xf>
    <xf numFmtId="164" fontId="0" fillId="0" borderId="0" xfId="1" applyNumberFormat="1" applyFont="1"/>
    <xf numFmtId="0" fontId="0" fillId="0" borderId="0" xfId="0" applyAlignment="1">
      <alignment horizontal="center"/>
    </xf>
    <xf numFmtId="0" fontId="0" fillId="0" borderId="14" xfId="0" applyBorder="1"/>
    <xf numFmtId="0" fontId="0" fillId="0" borderId="5" xfId="0" applyBorder="1"/>
    <xf numFmtId="0" fontId="0" fillId="0" borderId="4" xfId="0" applyBorder="1"/>
    <xf numFmtId="0" fontId="0" fillId="0" borderId="15" xfId="0" applyBorder="1"/>
    <xf numFmtId="0" fontId="0" fillId="0" borderId="0" xfId="0" applyBorder="1"/>
    <xf numFmtId="0" fontId="0" fillId="0" borderId="16" xfId="0" applyBorder="1"/>
    <xf numFmtId="0" fontId="0" fillId="0" borderId="17" xfId="0" applyBorder="1"/>
    <xf numFmtId="0" fontId="0" fillId="0" borderId="10" xfId="0" applyBorder="1"/>
    <xf numFmtId="0" fontId="0" fillId="0" borderId="18" xfId="0" applyBorder="1"/>
    <xf numFmtId="43" fontId="2" fillId="10" borderId="6" xfId="1" applyFont="1" applyFill="1" applyBorder="1" applyAlignment="1">
      <alignment horizontal="center" vertical="center" wrapText="1"/>
    </xf>
    <xf numFmtId="168" fontId="5" fillId="0" borderId="6" xfId="2" applyNumberFormat="1" applyFont="1" applyFill="1" applyBorder="1" applyAlignment="1"/>
    <xf numFmtId="168" fontId="5" fillId="6" borderId="6" xfId="2" applyNumberFormat="1" applyFont="1" applyFill="1" applyBorder="1" applyAlignment="1"/>
    <xf numFmtId="168" fontId="5" fillId="7" borderId="6" xfId="2" applyNumberFormat="1" applyFont="1" applyFill="1" applyBorder="1" applyAlignment="1"/>
    <xf numFmtId="168" fontId="5" fillId="0" borderId="6" xfId="2" applyNumberFormat="1" applyFont="1" applyFill="1" applyBorder="1" applyAlignment="1">
      <alignment horizontal="right"/>
    </xf>
    <xf numFmtId="168" fontId="3" fillId="6" borderId="6" xfId="2" applyNumberFormat="1" applyFont="1" applyFill="1" applyBorder="1" applyAlignment="1">
      <alignment horizontal="right"/>
    </xf>
    <xf numFmtId="168" fontId="3" fillId="7" borderId="6" xfId="2" applyNumberFormat="1" applyFont="1" applyFill="1" applyBorder="1" applyAlignment="1">
      <alignment horizontal="right"/>
    </xf>
    <xf numFmtId="168" fontId="3" fillId="0" borderId="10" xfId="2" applyNumberFormat="1" applyFont="1" applyFill="1" applyBorder="1" applyAlignment="1">
      <alignment horizontal="right"/>
    </xf>
    <xf numFmtId="168" fontId="5" fillId="0" borderId="6" xfId="2" applyNumberFormat="1" applyFont="1" applyFill="1" applyBorder="1"/>
    <xf numFmtId="168" fontId="5" fillId="0" borderId="6" xfId="2" applyNumberFormat="1" applyFont="1" applyFill="1" applyBorder="1" applyAlignment="1">
      <alignment horizontal="right" vertical="center"/>
    </xf>
    <xf numFmtId="168" fontId="3" fillId="8" borderId="6" xfId="2" applyNumberFormat="1" applyFont="1" applyFill="1" applyBorder="1" applyAlignment="1">
      <alignment vertical="center"/>
    </xf>
    <xf numFmtId="168" fontId="3" fillId="0" borderId="10" xfId="2" applyNumberFormat="1" applyFont="1" applyFill="1" applyBorder="1" applyAlignment="1">
      <alignment vertical="center"/>
    </xf>
    <xf numFmtId="168" fontId="3" fillId="0" borderId="5" xfId="2" applyNumberFormat="1" applyFont="1" applyFill="1" applyBorder="1" applyAlignment="1">
      <alignment vertical="center"/>
    </xf>
    <xf numFmtId="168" fontId="7" fillId="5" borderId="6" xfId="2" applyNumberFormat="1" applyFont="1" applyFill="1" applyBorder="1" applyAlignment="1">
      <alignment horizontal="right" vertical="center"/>
    </xf>
    <xf numFmtId="43" fontId="5" fillId="0" borderId="0" xfId="0" applyNumberFormat="1" applyFont="1" applyFill="1" applyBorder="1"/>
    <xf numFmtId="168" fontId="0" fillId="0" borderId="0" xfId="2" applyNumberFormat="1" applyFont="1"/>
    <xf numFmtId="0" fontId="0" fillId="0" borderId="0" xfId="0" applyAlignment="1">
      <alignment horizontal="center" vertical="center"/>
    </xf>
    <xf numFmtId="0" fontId="12" fillId="0" borderId="0" xfId="0" applyFont="1" applyFill="1" applyBorder="1" applyAlignment="1">
      <alignment horizontal="center" vertical="center" wrapText="1"/>
    </xf>
    <xf numFmtId="168" fontId="11" fillId="0" borderId="0" xfId="2" applyNumberFormat="1" applyFont="1" applyAlignment="1">
      <alignment horizontal="center" vertical="center"/>
    </xf>
    <xf numFmtId="168" fontId="0" fillId="0" borderId="0" xfId="0" applyNumberFormat="1"/>
    <xf numFmtId="0" fontId="3" fillId="11" borderId="6" xfId="0" applyFont="1" applyFill="1" applyBorder="1" applyAlignment="1">
      <alignment horizontal="center" vertical="center"/>
    </xf>
    <xf numFmtId="0" fontId="3" fillId="11" borderId="6" xfId="0" applyFont="1" applyFill="1" applyBorder="1" applyAlignment="1">
      <alignment horizontal="center" vertical="center" wrapText="1"/>
    </xf>
    <xf numFmtId="0" fontId="0" fillId="0" borderId="0" xfId="0" applyBorder="1" applyAlignment="1">
      <alignment horizontal="center"/>
    </xf>
    <xf numFmtId="0" fontId="0" fillId="0" borderId="6" xfId="0" applyBorder="1" applyAlignment="1">
      <alignment horizontal="center" vertical="center"/>
    </xf>
    <xf numFmtId="0" fontId="3" fillId="6" borderId="6" xfId="0" applyFont="1" applyFill="1" applyBorder="1" applyAlignment="1">
      <alignment horizontal="center" vertical="center"/>
    </xf>
    <xf numFmtId="0" fontId="5" fillId="0" borderId="0" xfId="0" quotePrefix="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horizontal="center" vertical="center"/>
    </xf>
    <xf numFmtId="43" fontId="0" fillId="0" borderId="0" xfId="0" applyNumberFormat="1"/>
    <xf numFmtId="40" fontId="5" fillId="0" borderId="0" xfId="0" applyNumberFormat="1" applyFont="1" applyFill="1"/>
    <xf numFmtId="168" fontId="15" fillId="12" borderId="6" xfId="2" applyNumberFormat="1" applyFont="1" applyFill="1" applyBorder="1" applyAlignment="1">
      <alignment horizontal="center" vertical="center"/>
    </xf>
    <xf numFmtId="168" fontId="16" fillId="12" borderId="6" xfId="2" applyNumberFormat="1" applyFont="1" applyFill="1" applyBorder="1" applyAlignment="1">
      <alignment horizontal="center" vertical="center"/>
    </xf>
    <xf numFmtId="167" fontId="11" fillId="12" borderId="6" xfId="0" applyNumberFormat="1" applyFont="1" applyFill="1" applyBorder="1" applyAlignment="1">
      <alignment horizontal="center" vertical="center"/>
    </xf>
    <xf numFmtId="167" fontId="16" fillId="12" borderId="6" xfId="0" applyNumberFormat="1" applyFont="1" applyFill="1" applyBorder="1" applyAlignment="1">
      <alignment horizontal="center" vertical="center"/>
    </xf>
    <xf numFmtId="168" fontId="11" fillId="12" borderId="6" xfId="2" applyNumberFormat="1" applyFont="1" applyFill="1" applyBorder="1" applyAlignment="1">
      <alignment horizontal="center" vertical="center"/>
    </xf>
    <xf numFmtId="0" fontId="13" fillId="11" borderId="1" xfId="0" applyFont="1" applyFill="1" applyBorder="1" applyAlignment="1">
      <alignment horizontal="center" vertical="center"/>
    </xf>
    <xf numFmtId="0" fontId="13" fillId="11" borderId="2" xfId="0" applyFont="1" applyFill="1" applyBorder="1" applyAlignment="1">
      <alignment horizontal="center" vertical="center"/>
    </xf>
    <xf numFmtId="0" fontId="13" fillId="11" borderId="3" xfId="0" applyFont="1" applyFill="1" applyBorder="1" applyAlignment="1">
      <alignment horizontal="center" vertical="center"/>
    </xf>
    <xf numFmtId="0" fontId="0" fillId="0" borderId="5" xfId="0" applyBorder="1" applyAlignment="1">
      <alignment horizontal="center"/>
    </xf>
    <xf numFmtId="0" fontId="14" fillId="11" borderId="6" xfId="0" applyFont="1" applyFill="1" applyBorder="1" applyAlignment="1">
      <alignment horizontal="center" vertical="center"/>
    </xf>
    <xf numFmtId="0" fontId="0" fillId="0" borderId="16" xfId="0" applyBorder="1" applyAlignment="1">
      <alignment horizontal="left" wrapText="1"/>
    </xf>
    <xf numFmtId="0" fontId="0" fillId="0" borderId="0" xfId="0" applyBorder="1" applyAlignment="1">
      <alignment horizontal="left" wrapText="1"/>
    </xf>
    <xf numFmtId="0" fontId="5" fillId="0" borderId="0" xfId="0" applyFont="1" applyAlignment="1">
      <alignment horizontal="center"/>
    </xf>
    <xf numFmtId="0" fontId="8" fillId="0" borderId="0" xfId="0" applyFont="1" applyAlignment="1">
      <alignment horizontal="center"/>
    </xf>
    <xf numFmtId="0" fontId="2" fillId="9" borderId="12" xfId="0" applyFont="1" applyFill="1" applyBorder="1" applyAlignment="1">
      <alignment horizontal="center" vertical="center"/>
    </xf>
    <xf numFmtId="0" fontId="2" fillId="9" borderId="13" xfId="0" applyFont="1" applyFill="1" applyBorder="1" applyAlignment="1">
      <alignment horizontal="center" vertical="center"/>
    </xf>
    <xf numFmtId="0" fontId="2" fillId="9" borderId="11" xfId="0" applyFont="1" applyFill="1" applyBorder="1" applyAlignment="1">
      <alignment horizontal="center" vertical="center"/>
    </xf>
    <xf numFmtId="0" fontId="5" fillId="4" borderId="7" xfId="0" applyFont="1" applyFill="1" applyBorder="1" applyAlignment="1">
      <alignment horizontal="center"/>
    </xf>
    <xf numFmtId="0" fontId="5" fillId="4" borderId="8" xfId="0" applyFont="1" applyFill="1" applyBorder="1" applyAlignment="1">
      <alignment horizontal="center"/>
    </xf>
    <xf numFmtId="0" fontId="5" fillId="4" borderId="9" xfId="0" applyFont="1" applyFill="1" applyBorder="1" applyAlignment="1">
      <alignment horizontal="center"/>
    </xf>
    <xf numFmtId="43" fontId="3" fillId="4" borderId="7" xfId="1" applyFont="1" applyFill="1" applyBorder="1" applyAlignment="1">
      <alignment horizontal="center" vertical="center"/>
    </xf>
    <xf numFmtId="43" fontId="3" fillId="4" borderId="8" xfId="1" applyFont="1" applyFill="1" applyBorder="1" applyAlignment="1">
      <alignment horizontal="center" vertical="center"/>
    </xf>
    <xf numFmtId="43" fontId="3" fillId="4" borderId="9" xfId="1" applyFont="1" applyFill="1" applyBorder="1" applyAlignment="1">
      <alignment horizontal="center" vertical="center"/>
    </xf>
    <xf numFmtId="43" fontId="5" fillId="4" borderId="7" xfId="1" applyFont="1" applyFill="1" applyBorder="1" applyAlignment="1">
      <alignment horizontal="center"/>
    </xf>
    <xf numFmtId="43" fontId="5" fillId="4" borderId="8" xfId="1" applyFont="1" applyFill="1" applyBorder="1" applyAlignment="1">
      <alignment horizontal="center"/>
    </xf>
    <xf numFmtId="43" fontId="5" fillId="4" borderId="9" xfId="1" applyFont="1" applyFill="1" applyBorder="1" applyAlignment="1">
      <alignment horizontal="center"/>
    </xf>
    <xf numFmtId="165" fontId="5" fillId="0" borderId="0" xfId="1" applyNumberFormat="1" applyFont="1"/>
    <xf numFmtId="0" fontId="5" fillId="6" borderId="6" xfId="0" applyFont="1" applyFill="1" applyBorder="1" applyAlignment="1">
      <alignment horizontal="center" vertical="center"/>
    </xf>
    <xf numFmtId="167" fontId="0" fillId="12" borderId="6" xfId="0" applyNumberFormat="1" applyFont="1" applyFill="1" applyBorder="1" applyAlignment="1">
      <alignment horizontal="center" vertical="center"/>
    </xf>
    <xf numFmtId="168" fontId="17" fillId="12" borderId="6" xfId="2" applyNumberFormat="1" applyFont="1" applyFill="1" applyBorder="1" applyAlignment="1">
      <alignment horizontal="center" vertical="center"/>
    </xf>
    <xf numFmtId="168" fontId="18" fillId="12" borderId="6" xfId="2" applyNumberFormat="1" applyFont="1" applyFill="1" applyBorder="1" applyAlignment="1">
      <alignment horizontal="center" vertical="center"/>
    </xf>
  </cellXfs>
  <cellStyles count="4">
    <cellStyle name="Comma" xfId="1" builtinId="3"/>
    <cellStyle name="Currency" xfId="3" builtinId="4"/>
    <cellStyle name="Normal" xfId="0" builtinId="0"/>
    <cellStyle name="Percent" xfId="2" builtinId="5"/>
  </cellStyles>
  <dxfs count="0"/>
  <tableStyles count="0" defaultTableStyle="TableStyleMedium2" defaultPivotStyle="PivotStyleLight16"/>
  <colors>
    <mruColors>
      <color rgb="FFFF5050"/>
      <color rgb="FFCCCCFF"/>
      <color rgb="FFCC99FF"/>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latin typeface="Arial" panose="020B0604020202020204" pitchFamily="34" charset="0"/>
                <a:cs typeface="Arial" panose="020B0604020202020204" pitchFamily="34" charset="0"/>
              </a:rPr>
              <a:t>Total Adoptions</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strRef>
              <c:f>'Budget Update Summary'!$L$53</c:f>
              <c:strCache>
                <c:ptCount val="1"/>
                <c:pt idx="0">
                  <c:v>Dog Adoptions</c:v>
                </c:pt>
              </c:strCache>
            </c:strRef>
          </c:tx>
          <c:spPr>
            <a:solidFill>
              <a:schemeClr val="accent1"/>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'Budget Update Summary'!$M$52:$Q$52</c:f>
              <c:strCache>
                <c:ptCount val="5"/>
                <c:pt idx="0">
                  <c:v>2017</c:v>
                </c:pt>
                <c:pt idx="1">
                  <c:v>2018</c:v>
                </c:pt>
                <c:pt idx="2">
                  <c:v>2019</c:v>
                </c:pt>
                <c:pt idx="3">
                  <c:v>2020</c:v>
                </c:pt>
                <c:pt idx="4">
                  <c:v>2021 Bud</c:v>
                </c:pt>
              </c:strCache>
            </c:strRef>
          </c:cat>
          <c:val>
            <c:numRef>
              <c:f>'Budget Update Summary'!$M$53:$Q$53</c:f>
              <c:numCache>
                <c:formatCode>_(* #,##0_);_(* \(#,##0\);_(* "-"??_);_(@_)</c:formatCode>
                <c:ptCount val="5"/>
                <c:pt idx="0">
                  <c:v>879</c:v>
                </c:pt>
                <c:pt idx="1">
                  <c:v>703</c:v>
                </c:pt>
                <c:pt idx="2">
                  <c:v>697</c:v>
                </c:pt>
                <c:pt idx="3">
                  <c:v>860</c:v>
                </c:pt>
                <c:pt idx="4">
                  <c:v>825</c:v>
                </c:pt>
              </c:numCache>
            </c:numRef>
          </c:val>
          <c:extLst>
            <c:ext xmlns:c16="http://schemas.microsoft.com/office/drawing/2014/chart" uri="{C3380CC4-5D6E-409C-BE32-E72D297353CC}">
              <c16:uniqueId val="{00000000-B6EE-4C2B-A4B3-9411DBC10F34}"/>
            </c:ext>
          </c:extLst>
        </c:ser>
        <c:ser>
          <c:idx val="1"/>
          <c:order val="1"/>
          <c:tx>
            <c:strRef>
              <c:f>'Budget Update Summary'!$L$54</c:f>
              <c:strCache>
                <c:ptCount val="1"/>
                <c:pt idx="0">
                  <c:v>Cat Adoptions</c:v>
                </c:pt>
              </c:strCache>
            </c:strRef>
          </c:tx>
          <c:spPr>
            <a:solidFill>
              <a:schemeClr val="accent2"/>
            </a:solidFill>
            <a:ln>
              <a:solidFill>
                <a:schemeClr val="tx1"/>
              </a:solidFill>
            </a:ln>
            <a:effectLst/>
          </c:spPr>
          <c:invertIfNegative val="0"/>
          <c:dLbls>
            <c:dLbl>
              <c:idx val="0"/>
              <c:layout>
                <c:manualLayout>
                  <c:x val="0"/>
                  <c:y val="8.9460025361997719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6EE-4C2B-A4B3-9411DBC10F34}"/>
                </c:ext>
              </c:extLst>
            </c:dLbl>
            <c:dLbl>
              <c:idx val="1"/>
              <c:layout>
                <c:manualLayout>
                  <c:x val="0"/>
                  <c:y val="5.281292085680244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6EE-4C2B-A4B3-9411DBC10F34}"/>
                </c:ext>
              </c:extLst>
            </c:dLbl>
            <c:dLbl>
              <c:idx val="2"/>
              <c:layout>
                <c:manualLayout>
                  <c:x val="0"/>
                  <c:y val="6.8846029077825948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6EE-4C2B-A4B3-9411DBC10F34}"/>
                </c:ext>
              </c:extLst>
            </c:dLbl>
            <c:dLbl>
              <c:idx val="3"/>
              <c:layout>
                <c:manualLayout>
                  <c:x val="0"/>
                  <c:y val="-5.0232484984320781E-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6EE-4C2B-A4B3-9411DBC10F34}"/>
                </c:ext>
              </c:extLst>
            </c:dLbl>
            <c:dLbl>
              <c:idx val="4"/>
              <c:layout>
                <c:manualLayout>
                  <c:x val="0"/>
                  <c:y val="6.71306536121187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6EE-4C2B-A4B3-9411DBC10F3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'Budget Update Summary'!$M$52:$Q$52</c:f>
              <c:strCache>
                <c:ptCount val="5"/>
                <c:pt idx="0">
                  <c:v>2017</c:v>
                </c:pt>
                <c:pt idx="1">
                  <c:v>2018</c:v>
                </c:pt>
                <c:pt idx="2">
                  <c:v>2019</c:v>
                </c:pt>
                <c:pt idx="3">
                  <c:v>2020</c:v>
                </c:pt>
                <c:pt idx="4">
                  <c:v>2021 Bud</c:v>
                </c:pt>
              </c:strCache>
            </c:strRef>
          </c:cat>
          <c:val>
            <c:numRef>
              <c:f>'Budget Update Summary'!$M$54:$Q$54</c:f>
              <c:numCache>
                <c:formatCode>_(* #,##0_);_(* \(#,##0\);_(* "-"??_);_(@_)</c:formatCode>
                <c:ptCount val="5"/>
                <c:pt idx="0">
                  <c:v>214</c:v>
                </c:pt>
                <c:pt idx="1">
                  <c:v>257</c:v>
                </c:pt>
                <c:pt idx="2">
                  <c:v>282</c:v>
                </c:pt>
                <c:pt idx="3">
                  <c:v>329</c:v>
                </c:pt>
                <c:pt idx="4">
                  <c:v>250</c:v>
                </c:pt>
              </c:numCache>
            </c:numRef>
          </c:val>
          <c:extLst>
            <c:ext xmlns:c16="http://schemas.microsoft.com/office/drawing/2014/chart" uri="{C3380CC4-5D6E-409C-BE32-E72D297353CC}">
              <c16:uniqueId val="{00000006-B6EE-4C2B-A4B3-9411DBC10F34}"/>
            </c:ext>
          </c:extLst>
        </c:ser>
        <c:dLbls>
          <c:dLblPos val="inEnd"/>
          <c:showLegendKey val="0"/>
          <c:showVal val="1"/>
          <c:showCatName val="0"/>
          <c:showSerName val="0"/>
          <c:showPercent val="0"/>
          <c:showBubbleSize val="0"/>
        </c:dLbls>
        <c:gapWidth val="75"/>
        <c:overlap val="100"/>
        <c:axId val="369537088"/>
        <c:axId val="362517848"/>
      </c:barChart>
      <c:catAx>
        <c:axId val="36953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2517848"/>
        <c:crosses val="autoZero"/>
        <c:auto val="1"/>
        <c:lblAlgn val="ctr"/>
        <c:lblOffset val="100"/>
        <c:noMultiLvlLbl val="0"/>
      </c:catAx>
      <c:valAx>
        <c:axId val="36251784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95370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latin typeface="Arial" panose="020B0604020202020204" pitchFamily="34" charset="0"/>
                <a:cs typeface="Arial" panose="020B0604020202020204" pitchFamily="34" charset="0"/>
              </a:rPr>
              <a:t>Total Revenue Trend</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strRef>
              <c:f>'Budget Update Summary'!$L$68</c:f>
              <c:strCache>
                <c:ptCount val="1"/>
                <c:pt idx="0">
                  <c:v>Adoption Fees</c:v>
                </c:pt>
              </c:strCache>
            </c:strRef>
          </c:tx>
          <c:spPr>
            <a:solidFill>
              <a:srgbClr val="FF5050">
                <a:alpha val="70000"/>
              </a:srgbClr>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'Budget Update Summary'!$M$67:$Q$67</c:f>
              <c:strCache>
                <c:ptCount val="5"/>
                <c:pt idx="0">
                  <c:v>2017</c:v>
                </c:pt>
                <c:pt idx="1">
                  <c:v>2018</c:v>
                </c:pt>
                <c:pt idx="2">
                  <c:v>2019</c:v>
                </c:pt>
                <c:pt idx="3">
                  <c:v>2020</c:v>
                </c:pt>
                <c:pt idx="4">
                  <c:v>2021 Bud</c:v>
                </c:pt>
              </c:strCache>
            </c:strRef>
          </c:cat>
          <c:val>
            <c:numRef>
              <c:f>'Budget Update Summary'!$M$68:$Q$68</c:f>
              <c:numCache>
                <c:formatCode>"$"#,##0</c:formatCode>
                <c:ptCount val="5"/>
                <c:pt idx="0">
                  <c:v>160908</c:v>
                </c:pt>
                <c:pt idx="1">
                  <c:v>136545</c:v>
                </c:pt>
                <c:pt idx="2">
                  <c:v>154918.04999999999</c:v>
                </c:pt>
                <c:pt idx="3">
                  <c:v>175825.5</c:v>
                </c:pt>
                <c:pt idx="4">
                  <c:v>161250</c:v>
                </c:pt>
              </c:numCache>
            </c:numRef>
          </c:val>
          <c:extLst>
            <c:ext xmlns:c16="http://schemas.microsoft.com/office/drawing/2014/chart" uri="{C3380CC4-5D6E-409C-BE32-E72D297353CC}">
              <c16:uniqueId val="{00000000-F4CE-4AE0-8164-4BA4A9EAC8F6}"/>
            </c:ext>
          </c:extLst>
        </c:ser>
        <c:ser>
          <c:idx val="1"/>
          <c:order val="1"/>
          <c:tx>
            <c:strRef>
              <c:f>'Budget Update Summary'!$L$69</c:f>
              <c:strCache>
                <c:ptCount val="1"/>
                <c:pt idx="0">
                  <c:v>Donations</c:v>
                </c:pt>
              </c:strCache>
            </c:strRef>
          </c:tx>
          <c:spPr>
            <a:solidFill>
              <a:schemeClr val="accent6">
                <a:lumMod val="40000"/>
                <a:lumOff val="60000"/>
              </a:schemeClr>
            </a:solidFill>
            <a:ln>
              <a:solidFill>
                <a:schemeClr val="tx1"/>
              </a:solidFill>
            </a:ln>
            <a:effectLst/>
          </c:spPr>
          <c:invertIfNegative val="0"/>
          <c:dLbls>
            <c:dLbl>
              <c:idx val="0"/>
              <c:layout>
                <c:manualLayout>
                  <c:x val="0"/>
                  <c:y val="-9.593210875327653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F7D-429A-97BB-CDE7A7E04D8C}"/>
                </c:ext>
              </c:extLst>
            </c:dLbl>
            <c:dLbl>
              <c:idx val="1"/>
              <c:layout>
                <c:manualLayout>
                  <c:x val="-4.1729384293691326E-17"/>
                  <c:y val="2.799283143362182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F7D-429A-97BB-CDE7A7E04D8C}"/>
                </c:ext>
              </c:extLst>
            </c:dLbl>
            <c:dLbl>
              <c:idx val="2"/>
              <c:layout>
                <c:manualLayout>
                  <c:x val="0"/>
                  <c:y val="-2.979577991180374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F7D-429A-97BB-CDE7A7E04D8C}"/>
                </c:ext>
              </c:extLst>
            </c:dLbl>
            <c:dLbl>
              <c:idx val="3"/>
              <c:layout>
                <c:manualLayout>
                  <c:x val="2.2761745284599778E-3"/>
                  <c:y val="-2.701060575586648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8F7D-429A-97BB-CDE7A7E04D8C}"/>
                </c:ext>
              </c:extLst>
            </c:dLbl>
            <c:dLbl>
              <c:idx val="4"/>
              <c:layout>
                <c:manualLayout>
                  <c:x val="0"/>
                  <c:y val="-5.818696509676671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8F7D-429A-97BB-CDE7A7E04D8C}"/>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'Budget Update Summary'!$M$67:$Q$67</c:f>
              <c:strCache>
                <c:ptCount val="5"/>
                <c:pt idx="0">
                  <c:v>2017</c:v>
                </c:pt>
                <c:pt idx="1">
                  <c:v>2018</c:v>
                </c:pt>
                <c:pt idx="2">
                  <c:v>2019</c:v>
                </c:pt>
                <c:pt idx="3">
                  <c:v>2020</c:v>
                </c:pt>
                <c:pt idx="4">
                  <c:v>2021 Bud</c:v>
                </c:pt>
              </c:strCache>
            </c:strRef>
          </c:cat>
          <c:val>
            <c:numRef>
              <c:f>'Budget Update Summary'!$M$69:$Q$69</c:f>
              <c:numCache>
                <c:formatCode>"$"#,##0</c:formatCode>
                <c:ptCount val="5"/>
                <c:pt idx="0">
                  <c:v>422113</c:v>
                </c:pt>
                <c:pt idx="1">
                  <c:v>413956.9</c:v>
                </c:pt>
                <c:pt idx="2">
                  <c:v>494091.55000000005</c:v>
                </c:pt>
                <c:pt idx="3">
                  <c:v>371390.84</c:v>
                </c:pt>
                <c:pt idx="4">
                  <c:v>435000</c:v>
                </c:pt>
              </c:numCache>
            </c:numRef>
          </c:val>
          <c:extLst>
            <c:ext xmlns:c16="http://schemas.microsoft.com/office/drawing/2014/chart" uri="{C3380CC4-5D6E-409C-BE32-E72D297353CC}">
              <c16:uniqueId val="{00000001-F4CE-4AE0-8164-4BA4A9EAC8F6}"/>
            </c:ext>
          </c:extLst>
        </c:ser>
        <c:ser>
          <c:idx val="2"/>
          <c:order val="2"/>
          <c:tx>
            <c:strRef>
              <c:f>'Budget Update Summary'!$L$70</c:f>
              <c:strCache>
                <c:ptCount val="1"/>
                <c:pt idx="0">
                  <c:v>Fundraising</c:v>
                </c:pt>
              </c:strCache>
            </c:strRef>
          </c:tx>
          <c:spPr>
            <a:solidFill>
              <a:schemeClr val="accent1"/>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'Budget Update Summary'!$M$67:$Q$67</c:f>
              <c:strCache>
                <c:ptCount val="5"/>
                <c:pt idx="0">
                  <c:v>2017</c:v>
                </c:pt>
                <c:pt idx="1">
                  <c:v>2018</c:v>
                </c:pt>
                <c:pt idx="2">
                  <c:v>2019</c:v>
                </c:pt>
                <c:pt idx="3">
                  <c:v>2020</c:v>
                </c:pt>
                <c:pt idx="4">
                  <c:v>2021 Bud</c:v>
                </c:pt>
              </c:strCache>
            </c:strRef>
          </c:cat>
          <c:val>
            <c:numRef>
              <c:f>'Budget Update Summary'!$M$70:$Q$70</c:f>
              <c:numCache>
                <c:formatCode>"$"#,##0</c:formatCode>
                <c:ptCount val="5"/>
                <c:pt idx="0">
                  <c:v>102335</c:v>
                </c:pt>
                <c:pt idx="1">
                  <c:v>101238</c:v>
                </c:pt>
                <c:pt idx="2">
                  <c:v>158031.07</c:v>
                </c:pt>
                <c:pt idx="3">
                  <c:v>145193.01</c:v>
                </c:pt>
                <c:pt idx="4">
                  <c:v>175000</c:v>
                </c:pt>
              </c:numCache>
            </c:numRef>
          </c:val>
          <c:extLst>
            <c:ext xmlns:c16="http://schemas.microsoft.com/office/drawing/2014/chart" uri="{C3380CC4-5D6E-409C-BE32-E72D297353CC}">
              <c16:uniqueId val="{00000002-F4CE-4AE0-8164-4BA4A9EAC8F6}"/>
            </c:ext>
          </c:extLst>
        </c:ser>
        <c:ser>
          <c:idx val="3"/>
          <c:order val="3"/>
          <c:tx>
            <c:strRef>
              <c:f>'Budget Update Summary'!$L$71</c:f>
              <c:strCache>
                <c:ptCount val="1"/>
                <c:pt idx="0">
                  <c:v>Grants</c:v>
                </c:pt>
              </c:strCache>
            </c:strRef>
          </c:tx>
          <c:spPr>
            <a:solidFill>
              <a:srgbClr val="CCCCFF"/>
            </a:solidFill>
            <a:ln>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8F7D-429A-97BB-CDE7A7E04D8C}"/>
                </c:ext>
              </c:extLst>
            </c:dLbl>
            <c:dLbl>
              <c:idx val="1"/>
              <c:delete val="1"/>
              <c:extLst>
                <c:ext xmlns:c15="http://schemas.microsoft.com/office/drawing/2012/chart" uri="{CE6537A1-D6FC-4f65-9D91-7224C49458BB}"/>
                <c:ext xmlns:c16="http://schemas.microsoft.com/office/drawing/2014/chart" uri="{C3380CC4-5D6E-409C-BE32-E72D297353CC}">
                  <c16:uniqueId val="{00000003-8F7D-429A-97BB-CDE7A7E04D8C}"/>
                </c:ext>
              </c:extLst>
            </c:dLbl>
            <c:dLbl>
              <c:idx val="2"/>
              <c:delete val="1"/>
              <c:extLst>
                <c:ext xmlns:c15="http://schemas.microsoft.com/office/drawing/2012/chart" uri="{CE6537A1-D6FC-4f65-9D91-7224C49458BB}"/>
                <c:ext xmlns:c16="http://schemas.microsoft.com/office/drawing/2014/chart" uri="{C3380CC4-5D6E-409C-BE32-E72D297353CC}">
                  <c16:uniqueId val="{00000004-8F7D-429A-97BB-CDE7A7E04D8C}"/>
                </c:ext>
              </c:extLst>
            </c:dLbl>
            <c:dLbl>
              <c:idx val="3"/>
              <c:layout>
                <c:manualLayout>
                  <c:x val="0"/>
                  <c:y val="9.1348188796263219E-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F7D-429A-97BB-CDE7A7E04D8C}"/>
                </c:ext>
              </c:extLst>
            </c:dLbl>
            <c:dLbl>
              <c:idx val="4"/>
              <c:layout>
                <c:manualLayout>
                  <c:x val="8.3458768587382652E-17"/>
                  <c:y val="-1.94794083831404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F7D-429A-97BB-CDE7A7E04D8C}"/>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'Budget Update Summary'!$M$67:$Q$67</c:f>
              <c:strCache>
                <c:ptCount val="5"/>
                <c:pt idx="0">
                  <c:v>2017</c:v>
                </c:pt>
                <c:pt idx="1">
                  <c:v>2018</c:v>
                </c:pt>
                <c:pt idx="2">
                  <c:v>2019</c:v>
                </c:pt>
                <c:pt idx="3">
                  <c:v>2020</c:v>
                </c:pt>
                <c:pt idx="4">
                  <c:v>2021 Bud</c:v>
                </c:pt>
              </c:strCache>
            </c:strRef>
          </c:cat>
          <c:val>
            <c:numRef>
              <c:f>'Budget Update Summary'!$M$71:$Q$71</c:f>
              <c:numCache>
                <c:formatCode>"$"#,##0</c:formatCode>
                <c:ptCount val="5"/>
                <c:pt idx="0">
                  <c:v>11000</c:v>
                </c:pt>
                <c:pt idx="1">
                  <c:v>41900</c:v>
                </c:pt>
                <c:pt idx="2">
                  <c:v>61444.6</c:v>
                </c:pt>
                <c:pt idx="3">
                  <c:v>93111.679999999993</c:v>
                </c:pt>
                <c:pt idx="4">
                  <c:v>65000</c:v>
                </c:pt>
              </c:numCache>
            </c:numRef>
          </c:val>
          <c:extLst>
            <c:ext xmlns:c16="http://schemas.microsoft.com/office/drawing/2014/chart" uri="{C3380CC4-5D6E-409C-BE32-E72D297353CC}">
              <c16:uniqueId val="{00000003-F4CE-4AE0-8164-4BA4A9EAC8F6}"/>
            </c:ext>
          </c:extLst>
        </c:ser>
        <c:dLbls>
          <c:showLegendKey val="0"/>
          <c:showVal val="0"/>
          <c:showCatName val="0"/>
          <c:showSerName val="0"/>
          <c:showPercent val="0"/>
          <c:showBubbleSize val="0"/>
        </c:dLbls>
        <c:gapWidth val="75"/>
        <c:overlap val="100"/>
        <c:serLines>
          <c:spPr>
            <a:ln w="9525" cap="flat" cmpd="sng" algn="ctr">
              <a:solidFill>
                <a:schemeClr val="tx1">
                  <a:lumMod val="35000"/>
                  <a:lumOff val="65000"/>
                </a:schemeClr>
              </a:solidFill>
              <a:round/>
            </a:ln>
            <a:effectLst/>
          </c:spPr>
        </c:serLines>
        <c:axId val="417002832"/>
        <c:axId val="417002504"/>
      </c:barChart>
      <c:catAx>
        <c:axId val="417002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002504"/>
        <c:crosses val="autoZero"/>
        <c:auto val="1"/>
        <c:lblAlgn val="ctr"/>
        <c:lblOffset val="100"/>
        <c:noMultiLvlLbl val="0"/>
      </c:catAx>
      <c:valAx>
        <c:axId val="41700250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0028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latin typeface="Arial" panose="020B0604020202020204" pitchFamily="34" charset="0"/>
                <a:cs typeface="Arial" panose="020B0604020202020204" pitchFamily="34" charset="0"/>
              </a:rPr>
              <a:t>Expenses</a:t>
            </a:r>
            <a:r>
              <a:rPr lang="en-US" b="1" baseline="0">
                <a:latin typeface="Arial" panose="020B0604020202020204" pitchFamily="34" charset="0"/>
                <a:cs typeface="Arial" panose="020B0604020202020204" pitchFamily="34" charset="0"/>
              </a:rPr>
              <a:t> per Adoption Trend</a:t>
            </a:r>
            <a:endParaRPr lang="en-US" b="1">
              <a:latin typeface="Arial" panose="020B0604020202020204" pitchFamily="34" charset="0"/>
              <a:cs typeface="Arial" panose="020B0604020202020204" pitchFamily="34" charset="0"/>
            </a:endParaRPr>
          </a:p>
        </c:rich>
      </c:tx>
      <c:layout>
        <c:manualLayout>
          <c:xMode val="edge"/>
          <c:yMode val="edge"/>
          <c:x val="0.1633313377094914"/>
          <c:y val="2.785203474166897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2221666271649155E-2"/>
          <c:y val="0.14577020202020202"/>
          <c:w val="0.8771205856792984"/>
          <c:h val="0.62719141042145188"/>
        </c:manualLayout>
      </c:layout>
      <c:barChart>
        <c:barDir val="col"/>
        <c:grouping val="stacked"/>
        <c:varyColors val="0"/>
        <c:ser>
          <c:idx val="0"/>
          <c:order val="0"/>
          <c:tx>
            <c:strRef>
              <c:f>'Budget Update Summary'!$L$62</c:f>
              <c:strCache>
                <c:ptCount val="1"/>
                <c:pt idx="0">
                  <c:v>Fundraising Expense per Adoption</c:v>
                </c:pt>
              </c:strCache>
            </c:strRef>
          </c:tx>
          <c:spPr>
            <a:solidFill>
              <a:schemeClr val="accent1"/>
            </a:solidFill>
            <a:ln>
              <a:solidFill>
                <a:schemeClr val="tx1"/>
              </a:solidFill>
            </a:ln>
            <a:effectLst/>
          </c:spPr>
          <c:invertIfNegative val="0"/>
          <c:cat>
            <c:strRef>
              <c:f>'Budget Update Summary'!$M$61:$Q$61</c:f>
              <c:strCache>
                <c:ptCount val="5"/>
                <c:pt idx="0">
                  <c:v>2017</c:v>
                </c:pt>
                <c:pt idx="1">
                  <c:v>2018</c:v>
                </c:pt>
                <c:pt idx="2">
                  <c:v>2019</c:v>
                </c:pt>
                <c:pt idx="3">
                  <c:v>2020</c:v>
                </c:pt>
                <c:pt idx="4">
                  <c:v>2021 Bud</c:v>
                </c:pt>
              </c:strCache>
            </c:strRef>
          </c:cat>
          <c:val>
            <c:numRef>
              <c:f>'Budget Update Summary'!$M$62:$Q$62</c:f>
              <c:numCache>
                <c:formatCode>"$"#,##0</c:formatCode>
                <c:ptCount val="5"/>
                <c:pt idx="0">
                  <c:v>6.8038975297346749</c:v>
                </c:pt>
                <c:pt idx="1">
                  <c:v>8.6632812500000007</c:v>
                </c:pt>
                <c:pt idx="2">
                  <c:v>15.191981613891727</c:v>
                </c:pt>
                <c:pt idx="3">
                  <c:v>2.4676114381833472</c:v>
                </c:pt>
                <c:pt idx="4">
                  <c:v>15.069767441860465</c:v>
                </c:pt>
              </c:numCache>
            </c:numRef>
          </c:val>
          <c:extLst>
            <c:ext xmlns:c16="http://schemas.microsoft.com/office/drawing/2014/chart" uri="{C3380CC4-5D6E-409C-BE32-E72D297353CC}">
              <c16:uniqueId val="{00000000-C150-43FA-8EDD-6D2AA2022C17}"/>
            </c:ext>
          </c:extLst>
        </c:ser>
        <c:ser>
          <c:idx val="1"/>
          <c:order val="1"/>
          <c:tx>
            <c:strRef>
              <c:f>'Budget Update Summary'!$L$63</c:f>
              <c:strCache>
                <c:ptCount val="1"/>
                <c:pt idx="0">
                  <c:v>Supply Expense per Adoption</c:v>
                </c:pt>
              </c:strCache>
            </c:strRef>
          </c:tx>
          <c:spPr>
            <a:solidFill>
              <a:schemeClr val="accent2"/>
            </a:solidFill>
            <a:ln>
              <a:solidFill>
                <a:schemeClr val="tx1"/>
              </a:solidFill>
            </a:ln>
            <a:effectLst/>
          </c:spPr>
          <c:invertIfNegative val="0"/>
          <c:cat>
            <c:strRef>
              <c:f>'Budget Update Summary'!$M$61:$Q$61</c:f>
              <c:strCache>
                <c:ptCount val="5"/>
                <c:pt idx="0">
                  <c:v>2017</c:v>
                </c:pt>
                <c:pt idx="1">
                  <c:v>2018</c:v>
                </c:pt>
                <c:pt idx="2">
                  <c:v>2019</c:v>
                </c:pt>
                <c:pt idx="3">
                  <c:v>2020</c:v>
                </c:pt>
                <c:pt idx="4">
                  <c:v>2021 Bud</c:v>
                </c:pt>
              </c:strCache>
            </c:strRef>
          </c:cat>
          <c:val>
            <c:numRef>
              <c:f>'Budget Update Summary'!$M$63:$Q$63</c:f>
              <c:numCache>
                <c:formatCode>"$"#,##0</c:formatCode>
                <c:ptCount val="5"/>
                <c:pt idx="0">
                  <c:v>31.8263494967978</c:v>
                </c:pt>
                <c:pt idx="1">
                  <c:v>29.810479166666664</c:v>
                </c:pt>
                <c:pt idx="2">
                  <c:v>30.095383043922372</c:v>
                </c:pt>
                <c:pt idx="3">
                  <c:v>34.30637510513035</c:v>
                </c:pt>
                <c:pt idx="4">
                  <c:v>32.837209302325583</c:v>
                </c:pt>
              </c:numCache>
            </c:numRef>
          </c:val>
          <c:extLst>
            <c:ext xmlns:c16="http://schemas.microsoft.com/office/drawing/2014/chart" uri="{C3380CC4-5D6E-409C-BE32-E72D297353CC}">
              <c16:uniqueId val="{00000001-C150-43FA-8EDD-6D2AA2022C17}"/>
            </c:ext>
          </c:extLst>
        </c:ser>
        <c:ser>
          <c:idx val="2"/>
          <c:order val="2"/>
          <c:tx>
            <c:strRef>
              <c:f>'Budget Update Summary'!$L$64</c:f>
              <c:strCache>
                <c:ptCount val="1"/>
                <c:pt idx="0">
                  <c:v>Vet Expense per Adoption</c:v>
                </c:pt>
              </c:strCache>
            </c:strRef>
          </c:tx>
          <c:spPr>
            <a:solidFill>
              <a:schemeClr val="accent6"/>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'Budget Update Summary'!$M$61:$Q$61</c:f>
              <c:strCache>
                <c:ptCount val="5"/>
                <c:pt idx="0">
                  <c:v>2017</c:v>
                </c:pt>
                <c:pt idx="1">
                  <c:v>2018</c:v>
                </c:pt>
                <c:pt idx="2">
                  <c:v>2019</c:v>
                </c:pt>
                <c:pt idx="3">
                  <c:v>2020</c:v>
                </c:pt>
                <c:pt idx="4">
                  <c:v>2021 Bud</c:v>
                </c:pt>
              </c:strCache>
            </c:strRef>
          </c:cat>
          <c:val>
            <c:numRef>
              <c:f>'Budget Update Summary'!$M$64:$Q$64</c:f>
              <c:numCache>
                <c:formatCode>"$"#,##0</c:formatCode>
                <c:ptCount val="5"/>
                <c:pt idx="0">
                  <c:v>120.54528819762123</c:v>
                </c:pt>
                <c:pt idx="1">
                  <c:v>190.69479166666667</c:v>
                </c:pt>
                <c:pt idx="2">
                  <c:v>244.91814096016341</c:v>
                </c:pt>
                <c:pt idx="3">
                  <c:v>208.77625735912531</c:v>
                </c:pt>
                <c:pt idx="4">
                  <c:v>248.55813953488371</c:v>
                </c:pt>
              </c:numCache>
            </c:numRef>
          </c:val>
          <c:extLst>
            <c:ext xmlns:c16="http://schemas.microsoft.com/office/drawing/2014/chart" uri="{C3380CC4-5D6E-409C-BE32-E72D297353CC}">
              <c16:uniqueId val="{00000002-C150-43FA-8EDD-6D2AA2022C17}"/>
            </c:ext>
          </c:extLst>
        </c:ser>
        <c:ser>
          <c:idx val="3"/>
          <c:order val="3"/>
          <c:tx>
            <c:strRef>
              <c:f>'Budget Update Summary'!$L$65</c:f>
              <c:strCache>
                <c:ptCount val="1"/>
                <c:pt idx="0">
                  <c:v>Salary Expense per Adoption</c:v>
                </c:pt>
              </c:strCache>
            </c:strRef>
          </c:tx>
          <c:spPr>
            <a:solidFill>
              <a:schemeClr val="accent4"/>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'Budget Update Summary'!$M$61:$Q$61</c:f>
              <c:strCache>
                <c:ptCount val="5"/>
                <c:pt idx="0">
                  <c:v>2017</c:v>
                </c:pt>
                <c:pt idx="1">
                  <c:v>2018</c:v>
                </c:pt>
                <c:pt idx="2">
                  <c:v>2019</c:v>
                </c:pt>
                <c:pt idx="3">
                  <c:v>2020</c:v>
                </c:pt>
                <c:pt idx="4">
                  <c:v>2021 Bud</c:v>
                </c:pt>
              </c:strCache>
            </c:strRef>
          </c:cat>
          <c:val>
            <c:numRef>
              <c:f>'Budget Update Summary'!$M$65:$Q$65</c:f>
              <c:numCache>
                <c:formatCode>"$"#,##0</c:formatCode>
                <c:ptCount val="5"/>
                <c:pt idx="0">
                  <c:v>264.77102114422854</c:v>
                </c:pt>
                <c:pt idx="1">
                  <c:v>263.35469791666668</c:v>
                </c:pt>
                <c:pt idx="2">
                  <c:v>258.91016343207355</c:v>
                </c:pt>
                <c:pt idx="3">
                  <c:v>214.41657695542474</c:v>
                </c:pt>
                <c:pt idx="4">
                  <c:v>260.8407704040697</c:v>
                </c:pt>
              </c:numCache>
            </c:numRef>
          </c:val>
          <c:extLst>
            <c:ext xmlns:c16="http://schemas.microsoft.com/office/drawing/2014/chart" uri="{C3380CC4-5D6E-409C-BE32-E72D297353CC}">
              <c16:uniqueId val="{00000003-C150-43FA-8EDD-6D2AA2022C17}"/>
            </c:ext>
          </c:extLst>
        </c:ser>
        <c:ser>
          <c:idx val="4"/>
          <c:order val="4"/>
          <c:tx>
            <c:strRef>
              <c:f>'Budget Update Summary'!$L$66</c:f>
              <c:strCache>
                <c:ptCount val="1"/>
                <c:pt idx="0">
                  <c:v>Other OpEx per Adoption</c:v>
                </c:pt>
              </c:strCache>
            </c:strRef>
          </c:tx>
          <c:spPr>
            <a:solidFill>
              <a:schemeClr val="bg1">
                <a:lumMod val="50000"/>
              </a:schemeClr>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'Budget Update Summary'!$M$61:$Q$61</c:f>
              <c:strCache>
                <c:ptCount val="5"/>
                <c:pt idx="0">
                  <c:v>2017</c:v>
                </c:pt>
                <c:pt idx="1">
                  <c:v>2018</c:v>
                </c:pt>
                <c:pt idx="2">
                  <c:v>2019</c:v>
                </c:pt>
                <c:pt idx="3">
                  <c:v>2020</c:v>
                </c:pt>
                <c:pt idx="4">
                  <c:v>2021 Bud</c:v>
                </c:pt>
              </c:strCache>
            </c:strRef>
          </c:cat>
          <c:val>
            <c:numRef>
              <c:f>'Budget Update Summary'!$M$66:$Q$66</c:f>
              <c:numCache>
                <c:formatCode>"$"#,##0</c:formatCode>
                <c:ptCount val="5"/>
                <c:pt idx="0">
                  <c:v>174.85962390945591</c:v>
                </c:pt>
                <c:pt idx="1">
                  <c:v>207.48528124999993</c:v>
                </c:pt>
                <c:pt idx="2">
                  <c:v>221.60837589376914</c:v>
                </c:pt>
                <c:pt idx="3">
                  <c:v>221.41215306980661</c:v>
                </c:pt>
                <c:pt idx="4">
                  <c:v>201.22790697674418</c:v>
                </c:pt>
              </c:numCache>
            </c:numRef>
          </c:val>
          <c:extLst>
            <c:ext xmlns:c16="http://schemas.microsoft.com/office/drawing/2014/chart" uri="{C3380CC4-5D6E-409C-BE32-E72D297353CC}">
              <c16:uniqueId val="{00000000-96FD-4FA7-BE25-F7D62F4BB423}"/>
            </c:ext>
          </c:extLst>
        </c:ser>
        <c:dLbls>
          <c:showLegendKey val="0"/>
          <c:showVal val="0"/>
          <c:showCatName val="0"/>
          <c:showSerName val="0"/>
          <c:showPercent val="0"/>
          <c:showBubbleSize val="0"/>
        </c:dLbls>
        <c:gapWidth val="75"/>
        <c:overlap val="100"/>
        <c:axId val="416151128"/>
        <c:axId val="416151456"/>
      </c:barChart>
      <c:catAx>
        <c:axId val="416151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416151456"/>
        <c:crosses val="autoZero"/>
        <c:auto val="1"/>
        <c:lblAlgn val="ctr"/>
        <c:lblOffset val="100"/>
        <c:noMultiLvlLbl val="0"/>
      </c:catAx>
      <c:valAx>
        <c:axId val="41615145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61511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latin typeface="Arial" panose="020B0604020202020204" pitchFamily="34" charset="0"/>
                <a:cs typeface="Arial" panose="020B0604020202020204" pitchFamily="34" charset="0"/>
              </a:rPr>
              <a:t>Expense Trend by Category</a:t>
            </a:r>
          </a:p>
        </c:rich>
      </c:tx>
      <c:layout>
        <c:manualLayout>
          <c:xMode val="edge"/>
          <c:yMode val="edge"/>
          <c:x val="0.36233530351640242"/>
          <c:y val="1.520278306285917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6351181102362206"/>
          <c:y val="0.13221285542307612"/>
          <c:w val="0.77237007874015751"/>
          <c:h val="0.54696960777099124"/>
        </c:manualLayout>
      </c:layout>
      <c:barChart>
        <c:barDir val="bar"/>
        <c:grouping val="stacked"/>
        <c:varyColors val="0"/>
        <c:ser>
          <c:idx val="0"/>
          <c:order val="0"/>
          <c:tx>
            <c:strRef>
              <c:f>'Budget Update Summary'!$L$56</c:f>
              <c:strCache>
                <c:ptCount val="1"/>
                <c:pt idx="0">
                  <c:v>Fundraising Expense</c:v>
                </c:pt>
              </c:strCache>
            </c:strRef>
          </c:tx>
          <c:spPr>
            <a:solidFill>
              <a:schemeClr val="accent1"/>
            </a:solidFill>
            <a:ln>
              <a:solidFill>
                <a:schemeClr val="tx1"/>
              </a:solidFill>
            </a:ln>
            <a:effectLst/>
          </c:spPr>
          <c:invertIfNegative val="0"/>
          <c:cat>
            <c:strRef>
              <c:f>'Budget Update Summary'!$M$55:$Q$55</c:f>
              <c:strCache>
                <c:ptCount val="5"/>
                <c:pt idx="0">
                  <c:v>2017</c:v>
                </c:pt>
                <c:pt idx="1">
                  <c:v>2018</c:v>
                </c:pt>
                <c:pt idx="2">
                  <c:v>2019</c:v>
                </c:pt>
                <c:pt idx="3">
                  <c:v>2020</c:v>
                </c:pt>
                <c:pt idx="4">
                  <c:v>2021 Bud</c:v>
                </c:pt>
              </c:strCache>
            </c:strRef>
          </c:cat>
          <c:val>
            <c:numRef>
              <c:f>'Budget Update Summary'!$M$56:$Q$56</c:f>
              <c:numCache>
                <c:formatCode>"$"#,##0</c:formatCode>
                <c:ptCount val="5"/>
                <c:pt idx="0">
                  <c:v>7436.66</c:v>
                </c:pt>
                <c:pt idx="1">
                  <c:v>8316.75</c:v>
                </c:pt>
                <c:pt idx="2">
                  <c:v>14872.95</c:v>
                </c:pt>
                <c:pt idx="3">
                  <c:v>2933.99</c:v>
                </c:pt>
                <c:pt idx="4">
                  <c:v>16200</c:v>
                </c:pt>
              </c:numCache>
            </c:numRef>
          </c:val>
          <c:extLst>
            <c:ext xmlns:c16="http://schemas.microsoft.com/office/drawing/2014/chart" uri="{C3380CC4-5D6E-409C-BE32-E72D297353CC}">
              <c16:uniqueId val="{00000000-200C-4A42-9C26-D187B1613704}"/>
            </c:ext>
          </c:extLst>
        </c:ser>
        <c:ser>
          <c:idx val="1"/>
          <c:order val="1"/>
          <c:tx>
            <c:strRef>
              <c:f>'Budget Update Summary'!$L$57</c:f>
              <c:strCache>
                <c:ptCount val="1"/>
                <c:pt idx="0">
                  <c:v>Supplies Expense</c:v>
                </c:pt>
              </c:strCache>
            </c:strRef>
          </c:tx>
          <c:spPr>
            <a:solidFill>
              <a:schemeClr val="accent2"/>
            </a:solidFill>
            <a:ln>
              <a:solidFill>
                <a:schemeClr val="tx1"/>
              </a:solidFill>
            </a:ln>
            <a:effectLst/>
          </c:spPr>
          <c:invertIfNegative val="0"/>
          <c:cat>
            <c:strRef>
              <c:f>'Budget Update Summary'!$M$55:$Q$55</c:f>
              <c:strCache>
                <c:ptCount val="5"/>
                <c:pt idx="0">
                  <c:v>2017</c:v>
                </c:pt>
                <c:pt idx="1">
                  <c:v>2018</c:v>
                </c:pt>
                <c:pt idx="2">
                  <c:v>2019</c:v>
                </c:pt>
                <c:pt idx="3">
                  <c:v>2020</c:v>
                </c:pt>
                <c:pt idx="4">
                  <c:v>2021 Bud</c:v>
                </c:pt>
              </c:strCache>
            </c:strRef>
          </c:cat>
          <c:val>
            <c:numRef>
              <c:f>'Budget Update Summary'!$M$57:$Q$57</c:f>
              <c:numCache>
                <c:formatCode>"$"#,##0</c:formatCode>
                <c:ptCount val="5"/>
                <c:pt idx="0">
                  <c:v>34786.199999999997</c:v>
                </c:pt>
                <c:pt idx="1">
                  <c:v>28618.059999999998</c:v>
                </c:pt>
                <c:pt idx="2">
                  <c:v>29463.38</c:v>
                </c:pt>
                <c:pt idx="3">
                  <c:v>40790.279999999984</c:v>
                </c:pt>
                <c:pt idx="4">
                  <c:v>35300</c:v>
                </c:pt>
              </c:numCache>
            </c:numRef>
          </c:val>
          <c:extLst>
            <c:ext xmlns:c16="http://schemas.microsoft.com/office/drawing/2014/chart" uri="{C3380CC4-5D6E-409C-BE32-E72D297353CC}">
              <c16:uniqueId val="{00000001-200C-4A42-9C26-D187B1613704}"/>
            </c:ext>
          </c:extLst>
        </c:ser>
        <c:ser>
          <c:idx val="2"/>
          <c:order val="2"/>
          <c:tx>
            <c:strRef>
              <c:f>'Budget Update Summary'!$L$58</c:f>
              <c:strCache>
                <c:ptCount val="1"/>
                <c:pt idx="0">
                  <c:v>Veterinary Expense</c:v>
                </c:pt>
              </c:strCache>
            </c:strRef>
          </c:tx>
          <c:spPr>
            <a:solidFill>
              <a:schemeClr val="accent6"/>
            </a:solidFill>
            <a:ln>
              <a:solidFill>
                <a:schemeClr val="tx1"/>
              </a:solidFill>
            </a:ln>
            <a:effectLst/>
          </c:spPr>
          <c:invertIfNegative val="0"/>
          <c:cat>
            <c:strRef>
              <c:f>'Budget Update Summary'!$M$55:$Q$55</c:f>
              <c:strCache>
                <c:ptCount val="5"/>
                <c:pt idx="0">
                  <c:v>2017</c:v>
                </c:pt>
                <c:pt idx="1">
                  <c:v>2018</c:v>
                </c:pt>
                <c:pt idx="2">
                  <c:v>2019</c:v>
                </c:pt>
                <c:pt idx="3">
                  <c:v>2020</c:v>
                </c:pt>
                <c:pt idx="4">
                  <c:v>2021 Bud</c:v>
                </c:pt>
              </c:strCache>
            </c:strRef>
          </c:cat>
          <c:val>
            <c:numRef>
              <c:f>'Budget Update Summary'!$M$58:$Q$58</c:f>
              <c:numCache>
                <c:formatCode>"$"#,##0</c:formatCode>
                <c:ptCount val="5"/>
                <c:pt idx="0">
                  <c:v>131756</c:v>
                </c:pt>
                <c:pt idx="1">
                  <c:v>183067</c:v>
                </c:pt>
                <c:pt idx="2">
                  <c:v>239774.86</c:v>
                </c:pt>
                <c:pt idx="3">
                  <c:v>248234.97</c:v>
                </c:pt>
                <c:pt idx="4">
                  <c:v>267200</c:v>
                </c:pt>
              </c:numCache>
            </c:numRef>
          </c:val>
          <c:extLst>
            <c:ext xmlns:c16="http://schemas.microsoft.com/office/drawing/2014/chart" uri="{C3380CC4-5D6E-409C-BE32-E72D297353CC}">
              <c16:uniqueId val="{00000002-200C-4A42-9C26-D187B1613704}"/>
            </c:ext>
          </c:extLst>
        </c:ser>
        <c:ser>
          <c:idx val="3"/>
          <c:order val="3"/>
          <c:tx>
            <c:strRef>
              <c:f>'Budget Update Summary'!$L$59</c:f>
              <c:strCache>
                <c:ptCount val="1"/>
                <c:pt idx="0">
                  <c:v>Salary Expense</c:v>
                </c:pt>
              </c:strCache>
            </c:strRef>
          </c:tx>
          <c:spPr>
            <a:solidFill>
              <a:schemeClr val="accent4"/>
            </a:solidFill>
            <a:ln>
              <a:solidFill>
                <a:schemeClr val="tx1"/>
              </a:solidFill>
            </a:ln>
            <a:effectLst/>
          </c:spPr>
          <c:invertIfNegative val="0"/>
          <c:cat>
            <c:strRef>
              <c:f>'Budget Update Summary'!$M$55:$Q$55</c:f>
              <c:strCache>
                <c:ptCount val="5"/>
                <c:pt idx="0">
                  <c:v>2017</c:v>
                </c:pt>
                <c:pt idx="1">
                  <c:v>2018</c:v>
                </c:pt>
                <c:pt idx="2">
                  <c:v>2019</c:v>
                </c:pt>
                <c:pt idx="3">
                  <c:v>2020</c:v>
                </c:pt>
                <c:pt idx="4">
                  <c:v>2021 Bud</c:v>
                </c:pt>
              </c:strCache>
            </c:strRef>
          </c:cat>
          <c:val>
            <c:numRef>
              <c:f>'Budget Update Summary'!$M$59:$Q$59</c:f>
              <c:numCache>
                <c:formatCode>"$"#,##0</c:formatCode>
                <c:ptCount val="5"/>
                <c:pt idx="0">
                  <c:v>289394.72611064179</c:v>
                </c:pt>
                <c:pt idx="1">
                  <c:v>252820.51</c:v>
                </c:pt>
                <c:pt idx="2">
                  <c:v>253473.05000000002</c:v>
                </c:pt>
                <c:pt idx="3">
                  <c:v>254941.31000000003</c:v>
                </c:pt>
                <c:pt idx="4">
                  <c:v>280403.82818437496</c:v>
                </c:pt>
              </c:numCache>
            </c:numRef>
          </c:val>
          <c:extLst>
            <c:ext xmlns:c16="http://schemas.microsoft.com/office/drawing/2014/chart" uri="{C3380CC4-5D6E-409C-BE32-E72D297353CC}">
              <c16:uniqueId val="{00000003-200C-4A42-9C26-D187B1613704}"/>
            </c:ext>
          </c:extLst>
        </c:ser>
        <c:ser>
          <c:idx val="4"/>
          <c:order val="4"/>
          <c:tx>
            <c:strRef>
              <c:f>'Budget Update Summary'!$L$60</c:f>
              <c:strCache>
                <c:ptCount val="1"/>
                <c:pt idx="0">
                  <c:v>Other Operating Expense</c:v>
                </c:pt>
              </c:strCache>
            </c:strRef>
          </c:tx>
          <c:spPr>
            <a:solidFill>
              <a:schemeClr val="bg1">
                <a:lumMod val="65000"/>
              </a:schemeClr>
            </a:solidFill>
            <a:ln>
              <a:solidFill>
                <a:schemeClr val="tx1"/>
              </a:solidFill>
            </a:ln>
            <a:effectLst/>
          </c:spPr>
          <c:invertIfNegative val="0"/>
          <c:cat>
            <c:strRef>
              <c:f>'Budget Update Summary'!$M$55:$Q$55</c:f>
              <c:strCache>
                <c:ptCount val="5"/>
                <c:pt idx="0">
                  <c:v>2017</c:v>
                </c:pt>
                <c:pt idx="1">
                  <c:v>2018</c:v>
                </c:pt>
                <c:pt idx="2">
                  <c:v>2019</c:v>
                </c:pt>
                <c:pt idx="3">
                  <c:v>2020</c:v>
                </c:pt>
                <c:pt idx="4">
                  <c:v>2021 Bud</c:v>
                </c:pt>
              </c:strCache>
            </c:strRef>
          </c:cat>
          <c:val>
            <c:numRef>
              <c:f>'Budget Update Summary'!$M$60:$Q$60</c:f>
              <c:numCache>
                <c:formatCode>"$"#,##0</c:formatCode>
                <c:ptCount val="5"/>
                <c:pt idx="0">
                  <c:v>191121.56893303531</c:v>
                </c:pt>
                <c:pt idx="1">
                  <c:v>199185.86999999994</c:v>
                </c:pt>
                <c:pt idx="2">
                  <c:v>216954.59999999998</c:v>
                </c:pt>
                <c:pt idx="3">
                  <c:v>263259.05000000005</c:v>
                </c:pt>
                <c:pt idx="4">
                  <c:v>216320</c:v>
                </c:pt>
              </c:numCache>
            </c:numRef>
          </c:val>
          <c:extLst>
            <c:ext xmlns:c16="http://schemas.microsoft.com/office/drawing/2014/chart" uri="{C3380CC4-5D6E-409C-BE32-E72D297353CC}">
              <c16:uniqueId val="{00000004-200C-4A42-9C26-D187B1613704}"/>
            </c:ext>
          </c:extLst>
        </c:ser>
        <c:dLbls>
          <c:showLegendKey val="0"/>
          <c:showVal val="0"/>
          <c:showCatName val="0"/>
          <c:showSerName val="0"/>
          <c:showPercent val="0"/>
          <c:showBubbleSize val="0"/>
        </c:dLbls>
        <c:gapWidth val="50"/>
        <c:overlap val="100"/>
        <c:axId val="364076320"/>
        <c:axId val="364075992"/>
      </c:barChart>
      <c:catAx>
        <c:axId val="3640763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64075992"/>
        <c:crosses val="autoZero"/>
        <c:auto val="1"/>
        <c:lblAlgn val="ctr"/>
        <c:lblOffset val="100"/>
        <c:noMultiLvlLbl val="0"/>
      </c:catAx>
      <c:valAx>
        <c:axId val="364075992"/>
        <c:scaling>
          <c:orientation val="minMax"/>
        </c:scaling>
        <c:delete val="0"/>
        <c:axPos val="b"/>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64076320"/>
        <c:crosses val="autoZero"/>
        <c:crossBetween val="between"/>
        <c:dispUnits>
          <c:builtInUnit val="thousands"/>
          <c:dispUnitsLbl>
            <c:layout>
              <c:manualLayout>
                <c:xMode val="edge"/>
                <c:yMode val="edge"/>
                <c:x val="1.2565420685463256E-2"/>
                <c:y val="0.68428082317814787"/>
              </c:manualLayout>
            </c:layout>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solidFill>
            <a:schemeClr val="lt1">
              <a:shade val="50000"/>
            </a:schemeClr>
          </a:solidFill>
        </a:ln>
        <a:effectLst/>
      </c:spPr>
    </c:plotArea>
    <c:legend>
      <c:legendPos val="b"/>
      <c:layout>
        <c:manualLayout>
          <c:xMode val="edge"/>
          <c:yMode val="edge"/>
          <c:x val="4.3333744857304068E-2"/>
          <c:y val="0.81253491320282312"/>
          <c:w val="0.92364768349908"/>
          <c:h val="0.1594277092121786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latin typeface="Arial" panose="020B0604020202020204" pitchFamily="34" charset="0"/>
                <a:cs typeface="Arial" panose="020B0604020202020204" pitchFamily="34" charset="0"/>
              </a:rPr>
              <a:t>Income</a:t>
            </a:r>
            <a:r>
              <a:rPr lang="en-US" b="1" baseline="0">
                <a:latin typeface="Arial" panose="020B0604020202020204" pitchFamily="34" charset="0"/>
                <a:cs typeface="Arial" panose="020B0604020202020204" pitchFamily="34" charset="0"/>
              </a:rPr>
              <a:t> Per Adoption Trend</a:t>
            </a:r>
            <a:endParaRPr lang="en-US" b="1">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'Budget Update Summary'!$L$82</c:f>
              <c:strCache>
                <c:ptCount val="1"/>
                <c:pt idx="0">
                  <c:v>Adoption Fees per Adoption</c:v>
                </c:pt>
              </c:strCache>
            </c:strRef>
          </c:tx>
          <c:spPr>
            <a:solidFill>
              <a:srgbClr val="FF5050">
                <a:alpha val="70000"/>
              </a:srgbClr>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'Budget Update Summary'!$M$81:$Q$81</c:f>
              <c:strCache>
                <c:ptCount val="5"/>
                <c:pt idx="0">
                  <c:v>2016</c:v>
                </c:pt>
                <c:pt idx="1">
                  <c:v>2017</c:v>
                </c:pt>
                <c:pt idx="2">
                  <c:v>2018</c:v>
                </c:pt>
                <c:pt idx="3">
                  <c:v>2019</c:v>
                </c:pt>
                <c:pt idx="4">
                  <c:v>2020 Bud</c:v>
                </c:pt>
              </c:strCache>
            </c:strRef>
          </c:cat>
          <c:val>
            <c:numRef>
              <c:f>'Budget Update Summary'!$M$82:$Q$82</c:f>
              <c:numCache>
                <c:formatCode>"$"#,##0</c:formatCode>
                <c:ptCount val="5"/>
                <c:pt idx="0">
                  <c:v>147.21683440073193</c:v>
                </c:pt>
                <c:pt idx="1">
                  <c:v>142.234375</c:v>
                </c:pt>
                <c:pt idx="2">
                  <c:v>158.24111338100101</c:v>
                </c:pt>
                <c:pt idx="3">
                  <c:v>147.87678721614802</c:v>
                </c:pt>
                <c:pt idx="4">
                  <c:v>150</c:v>
                </c:pt>
              </c:numCache>
            </c:numRef>
          </c:val>
          <c:extLst>
            <c:ext xmlns:c16="http://schemas.microsoft.com/office/drawing/2014/chart" uri="{C3380CC4-5D6E-409C-BE32-E72D297353CC}">
              <c16:uniqueId val="{00000000-48D4-4324-885A-35F3B14709A0}"/>
            </c:ext>
          </c:extLst>
        </c:ser>
        <c:ser>
          <c:idx val="1"/>
          <c:order val="1"/>
          <c:tx>
            <c:strRef>
              <c:f>'Budget Update Summary'!$L$83</c:f>
              <c:strCache>
                <c:ptCount val="1"/>
                <c:pt idx="0">
                  <c:v>Donations Per Adoption</c:v>
                </c:pt>
              </c:strCache>
            </c:strRef>
          </c:tx>
          <c:spPr>
            <a:solidFill>
              <a:schemeClr val="accent6">
                <a:lumMod val="40000"/>
                <a:lumOff val="60000"/>
              </a:schemeClr>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'Budget Update Summary'!$M$81:$Q$81</c:f>
              <c:strCache>
                <c:ptCount val="5"/>
                <c:pt idx="0">
                  <c:v>2016</c:v>
                </c:pt>
                <c:pt idx="1">
                  <c:v>2017</c:v>
                </c:pt>
                <c:pt idx="2">
                  <c:v>2018</c:v>
                </c:pt>
                <c:pt idx="3">
                  <c:v>2019</c:v>
                </c:pt>
                <c:pt idx="4">
                  <c:v>2020 Bud</c:v>
                </c:pt>
              </c:strCache>
            </c:strRef>
          </c:cat>
          <c:val>
            <c:numRef>
              <c:f>'Budget Update Summary'!$M$83:$Q$83</c:f>
              <c:numCache>
                <c:formatCode>"$"#,##0</c:formatCode>
                <c:ptCount val="5"/>
                <c:pt idx="0">
                  <c:v>386.19670631290029</c:v>
                </c:pt>
                <c:pt idx="1">
                  <c:v>431.20510416666667</c:v>
                </c:pt>
                <c:pt idx="2">
                  <c:v>504.69004085801845</c:v>
                </c:pt>
                <c:pt idx="3">
                  <c:v>312.35562657695544</c:v>
                </c:pt>
                <c:pt idx="4">
                  <c:v>404.6511627906977</c:v>
                </c:pt>
              </c:numCache>
            </c:numRef>
          </c:val>
          <c:extLst>
            <c:ext xmlns:c16="http://schemas.microsoft.com/office/drawing/2014/chart" uri="{C3380CC4-5D6E-409C-BE32-E72D297353CC}">
              <c16:uniqueId val="{00000001-48D4-4324-885A-35F3B14709A0}"/>
            </c:ext>
          </c:extLst>
        </c:ser>
        <c:ser>
          <c:idx val="2"/>
          <c:order val="2"/>
          <c:tx>
            <c:strRef>
              <c:f>'Budget Update Summary'!$L$84</c:f>
              <c:strCache>
                <c:ptCount val="1"/>
                <c:pt idx="0">
                  <c:v>Fundraising $$ Per Adoption</c:v>
                </c:pt>
              </c:strCache>
            </c:strRef>
          </c:tx>
          <c:spPr>
            <a:solidFill>
              <a:schemeClr val="accent1">
                <a:lumMod val="60000"/>
                <a:lumOff val="40000"/>
              </a:schemeClr>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'Budget Update Summary'!$M$81:$Q$81</c:f>
              <c:strCache>
                <c:ptCount val="5"/>
                <c:pt idx="0">
                  <c:v>2016</c:v>
                </c:pt>
                <c:pt idx="1">
                  <c:v>2017</c:v>
                </c:pt>
                <c:pt idx="2">
                  <c:v>2018</c:v>
                </c:pt>
                <c:pt idx="3">
                  <c:v>2019</c:v>
                </c:pt>
                <c:pt idx="4">
                  <c:v>2020 Bud</c:v>
                </c:pt>
              </c:strCache>
            </c:strRef>
          </c:cat>
          <c:val>
            <c:numRef>
              <c:f>'Budget Update Summary'!$M$84:$Q$84</c:f>
              <c:numCache>
                <c:formatCode>"$"#,##0</c:formatCode>
                <c:ptCount val="5"/>
                <c:pt idx="0">
                  <c:v>93.627630375114364</c:v>
                </c:pt>
                <c:pt idx="1">
                  <c:v>105.45625</c:v>
                </c:pt>
                <c:pt idx="2">
                  <c:v>161.42090909090911</c:v>
                </c:pt>
                <c:pt idx="3">
                  <c:v>122.11354920100926</c:v>
                </c:pt>
                <c:pt idx="4">
                  <c:v>162.7906976744186</c:v>
                </c:pt>
              </c:numCache>
            </c:numRef>
          </c:val>
          <c:extLst>
            <c:ext xmlns:c16="http://schemas.microsoft.com/office/drawing/2014/chart" uri="{C3380CC4-5D6E-409C-BE32-E72D297353CC}">
              <c16:uniqueId val="{00000002-48D4-4324-885A-35F3B14709A0}"/>
            </c:ext>
          </c:extLst>
        </c:ser>
        <c:ser>
          <c:idx val="3"/>
          <c:order val="3"/>
          <c:tx>
            <c:strRef>
              <c:f>'Budget Update Summary'!$L$85</c:f>
              <c:strCache>
                <c:ptCount val="1"/>
                <c:pt idx="0">
                  <c:v>Grant $$ Per Adoption</c:v>
                </c:pt>
              </c:strCache>
            </c:strRef>
          </c:tx>
          <c:spPr>
            <a:solidFill>
              <a:srgbClr val="CCCCFF"/>
            </a:solidFill>
            <a:ln>
              <a:solidFill>
                <a:schemeClr val="tx1"/>
              </a:solidFill>
            </a:ln>
            <a:effectLst/>
          </c:spPr>
          <c:invertIfNegative val="0"/>
          <c:cat>
            <c:strRef>
              <c:f>'Budget Update Summary'!$M$81:$Q$81</c:f>
              <c:strCache>
                <c:ptCount val="5"/>
                <c:pt idx="0">
                  <c:v>2016</c:v>
                </c:pt>
                <c:pt idx="1">
                  <c:v>2017</c:v>
                </c:pt>
                <c:pt idx="2">
                  <c:v>2018</c:v>
                </c:pt>
                <c:pt idx="3">
                  <c:v>2019</c:v>
                </c:pt>
                <c:pt idx="4">
                  <c:v>2020 Bud</c:v>
                </c:pt>
              </c:strCache>
            </c:strRef>
          </c:cat>
          <c:val>
            <c:numRef>
              <c:f>'Budget Update Summary'!$M$85:$Q$85</c:f>
              <c:numCache>
                <c:formatCode>"$"#,##0</c:formatCode>
                <c:ptCount val="5"/>
                <c:pt idx="0">
                  <c:v>10.064043915827996</c:v>
                </c:pt>
                <c:pt idx="1">
                  <c:v>43.645833333333336</c:v>
                </c:pt>
                <c:pt idx="2">
                  <c:v>62.762614913176712</c:v>
                </c:pt>
                <c:pt idx="3">
                  <c:v>78.310916736753569</c:v>
                </c:pt>
                <c:pt idx="4">
                  <c:v>60.465116279069768</c:v>
                </c:pt>
              </c:numCache>
            </c:numRef>
          </c:val>
          <c:extLst>
            <c:ext xmlns:c16="http://schemas.microsoft.com/office/drawing/2014/chart" uri="{C3380CC4-5D6E-409C-BE32-E72D297353CC}">
              <c16:uniqueId val="{00000003-48D4-4324-885A-35F3B14709A0}"/>
            </c:ext>
          </c:extLst>
        </c:ser>
        <c:dLbls>
          <c:showLegendKey val="0"/>
          <c:showVal val="0"/>
          <c:showCatName val="0"/>
          <c:showSerName val="0"/>
          <c:showPercent val="0"/>
          <c:showBubbleSize val="0"/>
        </c:dLbls>
        <c:gapWidth val="47"/>
        <c:overlap val="100"/>
        <c:axId val="88173391"/>
        <c:axId val="88171311"/>
      </c:barChart>
      <c:catAx>
        <c:axId val="881733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171311"/>
        <c:crosses val="autoZero"/>
        <c:auto val="1"/>
        <c:lblAlgn val="ctr"/>
        <c:lblOffset val="100"/>
        <c:noMultiLvlLbl val="0"/>
      </c:catAx>
      <c:valAx>
        <c:axId val="88171311"/>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1733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74084</xdr:colOff>
      <xdr:row>1</xdr:row>
      <xdr:rowOff>81704</xdr:rowOff>
    </xdr:from>
    <xdr:to>
      <xdr:col>10</xdr:col>
      <xdr:colOff>423333</xdr:colOff>
      <xdr:row>10</xdr:row>
      <xdr:rowOff>59266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82546</xdr:colOff>
      <xdr:row>10</xdr:row>
      <xdr:rowOff>160866</xdr:rowOff>
    </xdr:from>
    <xdr:to>
      <xdr:col>11</xdr:col>
      <xdr:colOff>1365249</xdr:colOff>
      <xdr:row>19</xdr:row>
      <xdr:rowOff>410210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499535</xdr:colOff>
      <xdr:row>1</xdr:row>
      <xdr:rowOff>81702</xdr:rowOff>
    </xdr:from>
    <xdr:to>
      <xdr:col>13</xdr:col>
      <xdr:colOff>245534</xdr:colOff>
      <xdr:row>10</xdr:row>
      <xdr:rowOff>48854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1555750</xdr:colOff>
      <xdr:row>10</xdr:row>
      <xdr:rowOff>177800</xdr:rowOff>
    </xdr:from>
    <xdr:to>
      <xdr:col>16</xdr:col>
      <xdr:colOff>984250</xdr:colOff>
      <xdr:row>19</xdr:row>
      <xdr:rowOff>431800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877358</xdr:colOff>
      <xdr:row>11</xdr:row>
      <xdr:rowOff>195528</xdr:rowOff>
    </xdr:from>
    <xdr:to>
      <xdr:col>13</xdr:col>
      <xdr:colOff>411691</xdr:colOff>
      <xdr:row>11</xdr:row>
      <xdr:rowOff>460640</xdr:rowOff>
    </xdr:to>
    <xdr:sp macro="" textlink="$Y$58">
      <xdr:nvSpPr>
        <xdr:cNvPr id="13" name="TextBox 12"/>
        <xdr:cNvSpPr txBox="1"/>
      </xdr:nvSpPr>
      <xdr:spPr>
        <a:xfrm>
          <a:off x="12116858" y="5422372"/>
          <a:ext cx="582083" cy="265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BC90728-AD8B-4480-B2C7-24C55155E77C}" type="TxLink">
            <a:rPr lang="en-US" sz="1100" b="0" i="0" u="none" strike="noStrike">
              <a:solidFill>
                <a:srgbClr val="000000"/>
              </a:solidFill>
              <a:latin typeface="Calibri"/>
              <a:cs typeface="Calibri"/>
            </a:rPr>
            <a:pPr/>
            <a:t>32.8%</a:t>
          </a:fld>
          <a:endParaRPr lang="en-US" sz="1100"/>
        </a:p>
      </xdr:txBody>
    </xdr:sp>
    <xdr:clientData/>
  </xdr:twoCellAnchor>
  <xdr:twoCellAnchor>
    <xdr:from>
      <xdr:col>12</xdr:col>
      <xdr:colOff>840581</xdr:colOff>
      <xdr:row>12</xdr:row>
      <xdr:rowOff>85727</xdr:rowOff>
    </xdr:from>
    <xdr:to>
      <xdr:col>13</xdr:col>
      <xdr:colOff>330464</xdr:colOff>
      <xdr:row>12</xdr:row>
      <xdr:rowOff>355071</xdr:rowOff>
    </xdr:to>
    <xdr:sp macro="" textlink="$X$58">
      <xdr:nvSpPr>
        <xdr:cNvPr id="14" name="TextBox 13"/>
        <xdr:cNvSpPr txBox="1"/>
      </xdr:nvSpPr>
      <xdr:spPr>
        <a:xfrm>
          <a:off x="12080081" y="5812633"/>
          <a:ext cx="537633" cy="269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2431DD7-5F93-463C-BD49-62A159FBBED9}" type="TxLink">
            <a:rPr lang="en-US" sz="1100" b="0" i="0" u="none" strike="noStrike">
              <a:solidFill>
                <a:srgbClr val="000000"/>
              </a:solidFill>
              <a:latin typeface="Calibri"/>
              <a:cs typeface="Calibri"/>
            </a:rPr>
            <a:pPr/>
            <a:t>30.6%</a:t>
          </a:fld>
          <a:endParaRPr lang="en-US" sz="1100"/>
        </a:p>
      </xdr:txBody>
    </xdr:sp>
    <xdr:clientData/>
  </xdr:twoCellAnchor>
  <xdr:twoCellAnchor>
    <xdr:from>
      <xdr:col>12</xdr:col>
      <xdr:colOff>820738</xdr:colOff>
      <xdr:row>12</xdr:row>
      <xdr:rowOff>466199</xdr:rowOff>
    </xdr:from>
    <xdr:to>
      <xdr:col>13</xdr:col>
      <xdr:colOff>355071</xdr:colOff>
      <xdr:row>13</xdr:row>
      <xdr:rowOff>222252</xdr:rowOff>
    </xdr:to>
    <xdr:sp macro="" textlink="$W$58">
      <xdr:nvSpPr>
        <xdr:cNvPr id="15" name="TextBox 14"/>
        <xdr:cNvSpPr txBox="1"/>
      </xdr:nvSpPr>
      <xdr:spPr>
        <a:xfrm>
          <a:off x="12060238" y="6193105"/>
          <a:ext cx="582083" cy="256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091EA82-19A2-47F2-98B5-8A3A4CF91F2C}" type="TxLink">
            <a:rPr lang="en-US" sz="1100" b="0" i="0" u="none" strike="noStrike">
              <a:solidFill>
                <a:srgbClr val="000000"/>
              </a:solidFill>
              <a:latin typeface="Calibri"/>
              <a:cs typeface="Calibri"/>
            </a:rPr>
            <a:pPr/>
            <a:t>31.8%</a:t>
          </a:fld>
          <a:endParaRPr lang="en-US" sz="1100"/>
        </a:p>
      </xdr:txBody>
    </xdr:sp>
    <xdr:clientData/>
  </xdr:twoCellAnchor>
  <xdr:twoCellAnchor>
    <xdr:from>
      <xdr:col>12</xdr:col>
      <xdr:colOff>744803</xdr:colOff>
      <xdr:row>13</xdr:row>
      <xdr:rowOff>360101</xdr:rowOff>
    </xdr:from>
    <xdr:to>
      <xdr:col>13</xdr:col>
      <xdr:colOff>279136</xdr:colOff>
      <xdr:row>15</xdr:row>
      <xdr:rowOff>29901</xdr:rowOff>
    </xdr:to>
    <xdr:sp macro="" textlink="$V$58">
      <xdr:nvSpPr>
        <xdr:cNvPr id="16" name="TextBox 15"/>
        <xdr:cNvSpPr txBox="1"/>
      </xdr:nvSpPr>
      <xdr:spPr>
        <a:xfrm>
          <a:off x="11984303" y="6587070"/>
          <a:ext cx="582083" cy="265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E22EE724-1998-48CE-9971-5B2A75D87C7E}" type="TxLink">
            <a:rPr lang="en-US" sz="1100" b="0" i="0" u="none" strike="noStrike">
              <a:solidFill>
                <a:srgbClr val="000000"/>
              </a:solidFill>
              <a:latin typeface="Calibri"/>
              <a:cs typeface="Calibri"/>
            </a:rPr>
            <a:pPr/>
            <a:t>27.2%</a:t>
          </a:fld>
          <a:endParaRPr lang="en-US" sz="1100"/>
        </a:p>
      </xdr:txBody>
    </xdr:sp>
    <xdr:clientData/>
  </xdr:twoCellAnchor>
  <xdr:twoCellAnchor>
    <xdr:from>
      <xdr:col>12</xdr:col>
      <xdr:colOff>620185</xdr:colOff>
      <xdr:row>15</xdr:row>
      <xdr:rowOff>196853</xdr:rowOff>
    </xdr:from>
    <xdr:to>
      <xdr:col>13</xdr:col>
      <xdr:colOff>154518</xdr:colOff>
      <xdr:row>15</xdr:row>
      <xdr:rowOff>452969</xdr:rowOff>
    </xdr:to>
    <xdr:sp macro="" textlink="$U$58">
      <xdr:nvSpPr>
        <xdr:cNvPr id="17" name="TextBox 16"/>
        <xdr:cNvSpPr txBox="1"/>
      </xdr:nvSpPr>
      <xdr:spPr>
        <a:xfrm>
          <a:off x="12109452" y="7029453"/>
          <a:ext cx="609599" cy="256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5DF8593-9D23-406D-93D4-ED21A2F29D63}" type="TxLink">
            <a:rPr lang="en-US" sz="1100" b="0" i="0" u="none" strike="noStrike">
              <a:solidFill>
                <a:srgbClr val="000000"/>
              </a:solidFill>
              <a:latin typeface="Calibri"/>
              <a:cs typeface="Calibri"/>
            </a:rPr>
            <a:pPr/>
            <a:t>20.1%</a:t>
          </a:fld>
          <a:endParaRPr lang="en-US" sz="1100"/>
        </a:p>
      </xdr:txBody>
    </xdr:sp>
    <xdr:clientData/>
  </xdr:twoCellAnchor>
  <xdr:twoCellAnchor>
    <xdr:from>
      <xdr:col>14</xdr:col>
      <xdr:colOff>120122</xdr:colOff>
      <xdr:row>11</xdr:row>
      <xdr:rowOff>212994</xdr:rowOff>
    </xdr:from>
    <xdr:to>
      <xdr:col>14</xdr:col>
      <xdr:colOff>684213</xdr:colOff>
      <xdr:row>11</xdr:row>
      <xdr:rowOff>478106</xdr:rowOff>
    </xdr:to>
    <xdr:sp macro="" textlink="$Y$59">
      <xdr:nvSpPr>
        <xdr:cNvPr id="19" name="TextBox 18"/>
        <xdr:cNvSpPr txBox="1"/>
      </xdr:nvSpPr>
      <xdr:spPr>
        <a:xfrm>
          <a:off x="13455122" y="5439838"/>
          <a:ext cx="564091" cy="265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4939DDC-7719-4D66-B625-35C728C21B17}" type="TxLink">
            <a:rPr lang="en-US" sz="1100" b="0" i="0" u="none" strike="noStrike">
              <a:solidFill>
                <a:srgbClr val="000000"/>
              </a:solidFill>
              <a:latin typeface="Calibri"/>
              <a:cs typeface="Calibri"/>
            </a:rPr>
            <a:pPr/>
            <a:t>34.4%</a:t>
          </a:fld>
          <a:endParaRPr lang="en-US" sz="1100"/>
        </a:p>
      </xdr:txBody>
    </xdr:sp>
    <xdr:clientData/>
  </xdr:twoCellAnchor>
  <xdr:twoCellAnchor>
    <xdr:from>
      <xdr:col>14</xdr:col>
      <xdr:colOff>42072</xdr:colOff>
      <xdr:row>12</xdr:row>
      <xdr:rowOff>106103</xdr:rowOff>
    </xdr:from>
    <xdr:to>
      <xdr:col>14</xdr:col>
      <xdr:colOff>573353</xdr:colOff>
      <xdr:row>12</xdr:row>
      <xdr:rowOff>375446</xdr:rowOff>
    </xdr:to>
    <xdr:sp macro="" textlink="$X$59">
      <xdr:nvSpPr>
        <xdr:cNvPr id="20" name="TextBox 19"/>
        <xdr:cNvSpPr txBox="1"/>
      </xdr:nvSpPr>
      <xdr:spPr>
        <a:xfrm>
          <a:off x="13377072" y="5833009"/>
          <a:ext cx="531281" cy="2693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7AD3306-4AB7-4290-8852-04E5A503C59F}" type="TxLink">
            <a:rPr lang="en-US" sz="1100" b="0" i="0" u="none" strike="noStrike">
              <a:solidFill>
                <a:srgbClr val="000000"/>
              </a:solidFill>
              <a:latin typeface="Calibri"/>
              <a:cs typeface="Calibri"/>
            </a:rPr>
            <a:pPr/>
            <a:t>31.5%</a:t>
          </a:fld>
          <a:endParaRPr lang="en-US" sz="1100"/>
        </a:p>
      </xdr:txBody>
    </xdr:sp>
    <xdr:clientData/>
  </xdr:twoCellAnchor>
  <xdr:twoCellAnchor>
    <xdr:from>
      <xdr:col>14</xdr:col>
      <xdr:colOff>23816</xdr:colOff>
      <xdr:row>12</xdr:row>
      <xdr:rowOff>495567</xdr:rowOff>
    </xdr:from>
    <xdr:to>
      <xdr:col>14</xdr:col>
      <xdr:colOff>605899</xdr:colOff>
      <xdr:row>13</xdr:row>
      <xdr:rowOff>251620</xdr:rowOff>
    </xdr:to>
    <xdr:sp macro="" textlink="$W$59">
      <xdr:nvSpPr>
        <xdr:cNvPr id="21" name="TextBox 20"/>
        <xdr:cNvSpPr txBox="1"/>
      </xdr:nvSpPr>
      <xdr:spPr>
        <a:xfrm>
          <a:off x="13358816" y="6222473"/>
          <a:ext cx="582083" cy="256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229406A-81A9-488A-A022-0F6461E21B0A}" type="TxLink">
            <a:rPr lang="en-US" sz="1100" b="0" i="0" u="none" strike="noStrike">
              <a:solidFill>
                <a:srgbClr val="000000"/>
              </a:solidFill>
              <a:latin typeface="Calibri"/>
              <a:cs typeface="Calibri"/>
            </a:rPr>
            <a:pPr/>
            <a:t>33.6%</a:t>
          </a:fld>
          <a:endParaRPr lang="en-US" sz="1100"/>
        </a:p>
      </xdr:txBody>
    </xdr:sp>
    <xdr:clientData/>
  </xdr:twoCellAnchor>
  <xdr:twoCellAnchor>
    <xdr:from>
      <xdr:col>13</xdr:col>
      <xdr:colOff>640823</xdr:colOff>
      <xdr:row>13</xdr:row>
      <xdr:rowOff>364068</xdr:rowOff>
    </xdr:from>
    <xdr:to>
      <xdr:col>14</xdr:col>
      <xdr:colOff>175156</xdr:colOff>
      <xdr:row>15</xdr:row>
      <xdr:rowOff>33868</xdr:rowOff>
    </xdr:to>
    <xdr:sp macro="" textlink="$V$59">
      <xdr:nvSpPr>
        <xdr:cNvPr id="22" name="TextBox 21"/>
        <xdr:cNvSpPr txBox="1"/>
      </xdr:nvSpPr>
      <xdr:spPr>
        <a:xfrm>
          <a:off x="12928073" y="6591037"/>
          <a:ext cx="582083" cy="265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7E1D3C9-B734-4262-8842-6B61D146F2E2}" type="TxLink">
            <a:rPr lang="en-US" sz="1100" b="0" i="0" u="none" strike="noStrike">
              <a:solidFill>
                <a:srgbClr val="000000"/>
              </a:solidFill>
              <a:latin typeface="Calibri"/>
              <a:cs typeface="Calibri"/>
            </a:rPr>
            <a:pPr/>
            <a:t>37.6%</a:t>
          </a:fld>
          <a:endParaRPr lang="en-US" sz="1100"/>
        </a:p>
      </xdr:txBody>
    </xdr:sp>
    <xdr:clientData/>
  </xdr:twoCellAnchor>
  <xdr:twoCellAnchor>
    <xdr:from>
      <xdr:col>13</xdr:col>
      <xdr:colOff>655640</xdr:colOff>
      <xdr:row>15</xdr:row>
      <xdr:rowOff>180711</xdr:rowOff>
    </xdr:from>
    <xdr:to>
      <xdr:col>14</xdr:col>
      <xdr:colOff>189973</xdr:colOff>
      <xdr:row>15</xdr:row>
      <xdr:rowOff>436827</xdr:rowOff>
    </xdr:to>
    <xdr:sp macro="" textlink="$U$59">
      <xdr:nvSpPr>
        <xdr:cNvPr id="23" name="TextBox 22"/>
        <xdr:cNvSpPr txBox="1"/>
      </xdr:nvSpPr>
      <xdr:spPr>
        <a:xfrm>
          <a:off x="12942890" y="7002992"/>
          <a:ext cx="582083" cy="256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AA868A3-144F-4E50-9DE9-65E6FB423868}" type="TxLink">
            <a:rPr lang="en-US" sz="1100" b="0" i="0" u="none" strike="noStrike">
              <a:solidFill>
                <a:srgbClr val="000000"/>
              </a:solidFill>
              <a:latin typeface="Calibri"/>
              <a:cs typeface="Calibri"/>
            </a:rPr>
            <a:pPr/>
            <a:t>44.2%</a:t>
          </a:fld>
          <a:endParaRPr lang="en-US" sz="1100"/>
        </a:p>
      </xdr:txBody>
    </xdr:sp>
    <xdr:clientData/>
  </xdr:twoCellAnchor>
  <xdr:twoCellAnchor>
    <xdr:from>
      <xdr:col>15</xdr:col>
      <xdr:colOff>229131</xdr:colOff>
      <xdr:row>11</xdr:row>
      <xdr:rowOff>175156</xdr:rowOff>
    </xdr:from>
    <xdr:to>
      <xdr:col>15</xdr:col>
      <xdr:colOff>811214</xdr:colOff>
      <xdr:row>11</xdr:row>
      <xdr:rowOff>439739</xdr:rowOff>
    </xdr:to>
    <xdr:sp macro="" textlink="$Y$60">
      <xdr:nvSpPr>
        <xdr:cNvPr id="25" name="TextBox 24"/>
        <xdr:cNvSpPr txBox="1"/>
      </xdr:nvSpPr>
      <xdr:spPr>
        <a:xfrm>
          <a:off x="14611881" y="5402000"/>
          <a:ext cx="582083" cy="264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2AD24CC-46A0-4A4B-920D-1F4CD7E216A5}" type="TxLink">
            <a:rPr lang="en-US" sz="1100" b="0" i="0" u="none" strike="noStrike">
              <a:solidFill>
                <a:srgbClr val="000000"/>
              </a:solidFill>
              <a:latin typeface="Calibri"/>
              <a:cs typeface="Calibri"/>
            </a:rPr>
            <a:pPr/>
            <a:t>26.5%</a:t>
          </a:fld>
          <a:endParaRPr lang="en-US" sz="1100"/>
        </a:p>
      </xdr:txBody>
    </xdr:sp>
    <xdr:clientData/>
  </xdr:twoCellAnchor>
  <xdr:twoCellAnchor>
    <xdr:from>
      <xdr:col>15</xdr:col>
      <xdr:colOff>175156</xdr:colOff>
      <xdr:row>12</xdr:row>
      <xdr:rowOff>96841</xdr:rowOff>
    </xdr:from>
    <xdr:to>
      <xdr:col>15</xdr:col>
      <xdr:colOff>712786</xdr:colOff>
      <xdr:row>12</xdr:row>
      <xdr:rowOff>345018</xdr:rowOff>
    </xdr:to>
    <xdr:sp macro="" textlink="$X$60">
      <xdr:nvSpPr>
        <xdr:cNvPr id="26" name="TextBox 25"/>
        <xdr:cNvSpPr txBox="1"/>
      </xdr:nvSpPr>
      <xdr:spPr>
        <a:xfrm>
          <a:off x="14557906" y="5823747"/>
          <a:ext cx="537630" cy="248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9B6FC7C-1303-48D2-82A9-C5F0012B2FEB}" type="TxLink">
            <a:rPr lang="en-US" sz="1100" b="0" i="0" u="none" strike="noStrike">
              <a:solidFill>
                <a:srgbClr val="000000"/>
              </a:solidFill>
              <a:latin typeface="Calibri"/>
              <a:cs typeface="Calibri"/>
            </a:rPr>
            <a:pPr/>
            <a:t>32.5%</a:t>
          </a:fld>
          <a:endParaRPr lang="en-US" sz="1100"/>
        </a:p>
      </xdr:txBody>
    </xdr:sp>
    <xdr:clientData/>
  </xdr:twoCellAnchor>
  <xdr:twoCellAnchor>
    <xdr:from>
      <xdr:col>15</xdr:col>
      <xdr:colOff>53183</xdr:colOff>
      <xdr:row>12</xdr:row>
      <xdr:rowOff>464081</xdr:rowOff>
    </xdr:from>
    <xdr:to>
      <xdr:col>15</xdr:col>
      <xdr:colOff>635266</xdr:colOff>
      <xdr:row>13</xdr:row>
      <xdr:rowOff>220134</xdr:rowOff>
    </xdr:to>
    <xdr:sp macro="" textlink="$W$60">
      <xdr:nvSpPr>
        <xdr:cNvPr id="27" name="TextBox 26"/>
        <xdr:cNvSpPr txBox="1"/>
      </xdr:nvSpPr>
      <xdr:spPr>
        <a:xfrm>
          <a:off x="14435933" y="6190987"/>
          <a:ext cx="582083" cy="256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4D4B038-8399-44FA-AA77-37655375F0E3}" type="TxLink">
            <a:rPr lang="en-US" sz="1100" b="0" i="0" u="none" strike="noStrike">
              <a:solidFill>
                <a:srgbClr val="000000"/>
              </a:solidFill>
              <a:latin typeface="Calibri"/>
              <a:cs typeface="Calibri"/>
            </a:rPr>
            <a:pPr/>
            <a:t>28.8%</a:t>
          </a:fld>
          <a:endParaRPr lang="en-US" sz="1100"/>
        </a:p>
      </xdr:txBody>
    </xdr:sp>
    <xdr:clientData/>
  </xdr:twoCellAnchor>
  <xdr:twoCellAnchor>
    <xdr:from>
      <xdr:col>14</xdr:col>
      <xdr:colOff>733691</xdr:colOff>
      <xdr:row>13</xdr:row>
      <xdr:rowOff>381795</xdr:rowOff>
    </xdr:from>
    <xdr:to>
      <xdr:col>15</xdr:col>
      <xdr:colOff>268024</xdr:colOff>
      <xdr:row>15</xdr:row>
      <xdr:rowOff>51595</xdr:rowOff>
    </xdr:to>
    <xdr:sp macro="" textlink="$V$60">
      <xdr:nvSpPr>
        <xdr:cNvPr id="28" name="TextBox 27"/>
        <xdr:cNvSpPr txBox="1"/>
      </xdr:nvSpPr>
      <xdr:spPr>
        <a:xfrm>
          <a:off x="14068691" y="6608764"/>
          <a:ext cx="582083" cy="265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398B1C3-6C8E-4F2F-B481-2971C9A1B5DD}" type="TxLink">
            <a:rPr lang="en-US" sz="1100" b="0" i="0" u="none" strike="noStrike">
              <a:solidFill>
                <a:srgbClr val="000000"/>
              </a:solidFill>
              <a:latin typeface="Calibri"/>
              <a:cs typeface="Calibri"/>
            </a:rPr>
            <a:pPr/>
            <a:t>29.6%</a:t>
          </a:fld>
          <a:endParaRPr lang="en-US" sz="1100"/>
        </a:p>
      </xdr:txBody>
    </xdr:sp>
    <xdr:clientData/>
  </xdr:twoCellAnchor>
  <xdr:twoCellAnchor>
    <xdr:from>
      <xdr:col>14</xdr:col>
      <xdr:colOff>743746</xdr:colOff>
      <xdr:row>15</xdr:row>
      <xdr:rowOff>184945</xdr:rowOff>
    </xdr:from>
    <xdr:to>
      <xdr:col>15</xdr:col>
      <xdr:colOff>278079</xdr:colOff>
      <xdr:row>15</xdr:row>
      <xdr:rowOff>441061</xdr:rowOff>
    </xdr:to>
    <xdr:sp macro="" textlink="$U$60">
      <xdr:nvSpPr>
        <xdr:cNvPr id="29" name="TextBox 28"/>
        <xdr:cNvSpPr txBox="1"/>
      </xdr:nvSpPr>
      <xdr:spPr>
        <a:xfrm>
          <a:off x="14078746" y="7007226"/>
          <a:ext cx="582083" cy="256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103618B-A164-4B9F-B48E-DD5CEAA35300}" type="TxLink">
            <a:rPr lang="en-US" sz="1100" b="0" i="0" u="none" strike="noStrike">
              <a:solidFill>
                <a:srgbClr val="000000"/>
              </a:solidFill>
              <a:latin typeface="Calibri"/>
              <a:cs typeface="Calibri"/>
            </a:rPr>
            <a:pPr/>
            <a:t>29.2%</a:t>
          </a:fld>
          <a:endParaRPr lang="en-US" sz="1100"/>
        </a:p>
      </xdr:txBody>
    </xdr:sp>
    <xdr:clientData/>
  </xdr:twoCellAnchor>
  <xdr:twoCellAnchor>
    <xdr:from>
      <xdr:col>13</xdr:col>
      <xdr:colOff>321734</xdr:colOff>
      <xdr:row>1</xdr:row>
      <xdr:rowOff>84666</xdr:rowOff>
    </xdr:from>
    <xdr:to>
      <xdr:col>16</xdr:col>
      <xdr:colOff>1007534</xdr:colOff>
      <xdr:row>10</xdr:row>
      <xdr:rowOff>37756</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85"/>
  <sheetViews>
    <sheetView showGridLines="0" tabSelected="1" zoomScale="80" zoomScaleNormal="80" workbookViewId="0"/>
  </sheetViews>
  <sheetFormatPr defaultRowHeight="15" x14ac:dyDescent="0.25"/>
  <cols>
    <col min="1" max="1" width="41.28515625" bestFit="1" customWidth="1"/>
    <col min="2" max="2" width="15.7109375" customWidth="1"/>
    <col min="3" max="3" width="12.140625" bestFit="1" customWidth="1"/>
    <col min="4" max="4" width="3.7109375" customWidth="1"/>
    <col min="12" max="12" width="32" bestFit="1" customWidth="1"/>
    <col min="13" max="17" width="15.7109375" customWidth="1"/>
    <col min="18" max="18" width="4.7109375" customWidth="1"/>
    <col min="19" max="21" width="12.7109375" customWidth="1"/>
  </cols>
  <sheetData>
    <row r="1" spans="1:21" ht="49.9" customHeight="1" x14ac:dyDescent="0.25">
      <c r="A1" s="112" t="s">
        <v>115</v>
      </c>
      <c r="B1" s="113" t="s">
        <v>138</v>
      </c>
      <c r="C1" s="113" t="s">
        <v>139</v>
      </c>
      <c r="E1" s="127" t="s">
        <v>106</v>
      </c>
      <c r="F1" s="128"/>
      <c r="G1" s="128"/>
      <c r="H1" s="128"/>
      <c r="I1" s="128"/>
      <c r="J1" s="128"/>
      <c r="K1" s="128"/>
      <c r="L1" s="128"/>
      <c r="M1" s="128"/>
      <c r="N1" s="128"/>
      <c r="O1" s="128"/>
      <c r="P1" s="128"/>
      <c r="Q1" s="129"/>
      <c r="R1" s="76"/>
      <c r="S1" s="76"/>
      <c r="T1" s="76"/>
      <c r="U1" s="76"/>
    </row>
    <row r="2" spans="1:21" ht="39.950000000000003" customHeight="1" x14ac:dyDescent="0.25">
      <c r="A2" s="149" t="s">
        <v>105</v>
      </c>
      <c r="B2" s="150">
        <v>161250</v>
      </c>
      <c r="C2" s="152">
        <v>-8.2897531927962662E-2</v>
      </c>
      <c r="E2" s="91"/>
      <c r="F2" s="90"/>
      <c r="G2" s="90"/>
      <c r="H2" s="90"/>
      <c r="I2" s="90"/>
      <c r="J2" s="90"/>
      <c r="K2" s="90"/>
      <c r="L2" s="90"/>
      <c r="M2" s="90"/>
      <c r="N2" s="90"/>
      <c r="O2" s="90"/>
      <c r="P2" s="90"/>
      <c r="Q2" s="89"/>
    </row>
    <row r="3" spans="1:21" ht="39.950000000000003" customHeight="1" x14ac:dyDescent="0.25">
      <c r="A3" s="149" t="s">
        <v>91</v>
      </c>
      <c r="B3" s="150">
        <v>435000</v>
      </c>
      <c r="C3" s="151">
        <v>0.17127282945373659</v>
      </c>
      <c r="E3" s="88"/>
      <c r="F3" s="87"/>
      <c r="G3" s="87"/>
      <c r="H3" s="87"/>
      <c r="I3" s="87"/>
      <c r="J3" s="87"/>
      <c r="K3" s="87"/>
      <c r="L3" s="87"/>
      <c r="M3" s="87"/>
      <c r="N3" s="87"/>
      <c r="O3" s="87"/>
      <c r="P3" s="87"/>
      <c r="Q3" s="86"/>
    </row>
    <row r="4" spans="1:21" ht="39.950000000000003" customHeight="1" x14ac:dyDescent="0.25">
      <c r="A4" s="149" t="s">
        <v>30</v>
      </c>
      <c r="B4" s="150">
        <v>175000</v>
      </c>
      <c r="C4" s="151">
        <v>0.20529218314297629</v>
      </c>
      <c r="E4" s="88"/>
      <c r="F4" s="87"/>
      <c r="G4" s="87"/>
      <c r="H4" s="87"/>
      <c r="I4" s="87"/>
      <c r="J4" s="87"/>
      <c r="K4" s="87"/>
      <c r="L4" s="87"/>
      <c r="M4" s="87"/>
      <c r="N4" s="87"/>
      <c r="O4" s="87"/>
      <c r="P4" s="87"/>
      <c r="Q4" s="86"/>
      <c r="R4" s="111"/>
      <c r="S4" s="111"/>
      <c r="T4" s="111"/>
    </row>
    <row r="5" spans="1:21" ht="39.950000000000003" customHeight="1" x14ac:dyDescent="0.25">
      <c r="A5" s="149" t="s">
        <v>89</v>
      </c>
      <c r="B5" s="150">
        <v>65000</v>
      </c>
      <c r="C5" s="152">
        <v>-0.30191357303401672</v>
      </c>
      <c r="E5" s="88"/>
      <c r="F5" s="87"/>
      <c r="G5" s="87"/>
      <c r="H5" s="87"/>
      <c r="I5" s="87"/>
      <c r="J5" s="87"/>
      <c r="K5" s="87"/>
      <c r="L5" s="87"/>
      <c r="M5" s="87"/>
      <c r="N5" s="87"/>
      <c r="O5" s="87"/>
      <c r="P5" s="87"/>
      <c r="Q5" s="86"/>
    </row>
    <row r="6" spans="1:21" ht="39.950000000000003" customHeight="1" x14ac:dyDescent="0.25">
      <c r="A6" s="116" t="s">
        <v>104</v>
      </c>
      <c r="B6" s="124">
        <v>860450</v>
      </c>
      <c r="C6" s="122">
        <v>8.1486223724353251E-3</v>
      </c>
      <c r="E6" s="88"/>
      <c r="F6" s="87"/>
      <c r="G6" s="87"/>
      <c r="H6" s="87"/>
      <c r="I6" s="87"/>
      <c r="J6" s="87"/>
      <c r="K6" s="87"/>
      <c r="L6" s="87"/>
      <c r="M6" s="87"/>
      <c r="N6" s="87"/>
      <c r="O6" s="87"/>
      <c r="P6" s="87"/>
      <c r="Q6" s="86"/>
    </row>
    <row r="7" spans="1:21" ht="8.1" customHeight="1" x14ac:dyDescent="0.25">
      <c r="A7" s="82"/>
      <c r="B7" s="118"/>
      <c r="C7" s="82"/>
      <c r="E7" s="88"/>
      <c r="F7" s="87"/>
      <c r="G7" s="87"/>
      <c r="H7" s="87"/>
      <c r="I7" s="87"/>
      <c r="J7" s="87"/>
      <c r="K7" s="87"/>
      <c r="L7" s="87"/>
      <c r="M7" s="87"/>
      <c r="N7" s="87"/>
      <c r="O7" s="87"/>
      <c r="P7" s="87"/>
      <c r="Q7" s="86"/>
    </row>
    <row r="8" spans="1:21" ht="39.950000000000003" customHeight="1" x14ac:dyDescent="0.25">
      <c r="A8" s="149" t="s">
        <v>33</v>
      </c>
      <c r="B8" s="150">
        <v>16200</v>
      </c>
      <c r="C8" s="151">
        <v>4.5214912116264889</v>
      </c>
      <c r="E8" s="88"/>
      <c r="F8" s="87"/>
      <c r="G8" s="87"/>
      <c r="H8" s="87"/>
      <c r="I8" s="87"/>
      <c r="J8" s="87"/>
      <c r="K8" s="87"/>
      <c r="L8" s="87"/>
      <c r="M8" s="87"/>
      <c r="N8" s="87"/>
      <c r="O8" s="87"/>
      <c r="P8" s="87"/>
      <c r="Q8" s="86"/>
    </row>
    <row r="9" spans="1:21" ht="39.950000000000003" customHeight="1" x14ac:dyDescent="0.25">
      <c r="A9" s="149" t="s">
        <v>39</v>
      </c>
      <c r="B9" s="150">
        <v>35300</v>
      </c>
      <c r="C9" s="152">
        <v>-0.13459775220959469</v>
      </c>
      <c r="E9" s="88"/>
      <c r="F9" s="87"/>
      <c r="G9" s="87"/>
      <c r="H9" s="87"/>
      <c r="I9" s="87"/>
      <c r="J9" s="87"/>
      <c r="K9" s="87"/>
      <c r="L9" s="87"/>
      <c r="M9" s="87"/>
      <c r="N9" s="87"/>
      <c r="O9" s="87"/>
      <c r="P9" s="87"/>
      <c r="Q9" s="86"/>
    </row>
    <row r="10" spans="1:21" ht="39.950000000000003" customHeight="1" x14ac:dyDescent="0.25">
      <c r="A10" s="149" t="s">
        <v>98</v>
      </c>
      <c r="B10" s="150">
        <v>247500</v>
      </c>
      <c r="C10" s="152">
        <v>-0.10825416161569217</v>
      </c>
      <c r="E10" s="88"/>
      <c r="F10" s="87"/>
      <c r="G10" s="87"/>
      <c r="H10" s="87"/>
      <c r="I10" s="87"/>
      <c r="J10" s="87"/>
      <c r="K10" s="87"/>
      <c r="L10" s="87"/>
      <c r="M10" s="87"/>
      <c r="N10" s="87"/>
      <c r="O10" s="87"/>
      <c r="P10" s="87"/>
      <c r="Q10" s="86"/>
    </row>
    <row r="11" spans="1:21" ht="39.950000000000003" customHeight="1" x14ac:dyDescent="0.25">
      <c r="A11" s="149" t="s">
        <v>123</v>
      </c>
      <c r="B11" s="150">
        <v>723909.48534999997</v>
      </c>
      <c r="C11" s="152">
        <v>-3.7999999999999999E-2</v>
      </c>
      <c r="E11" s="88"/>
      <c r="F11" s="87"/>
      <c r="G11" s="87"/>
      <c r="H11" s="87"/>
      <c r="I11" s="87"/>
      <c r="J11" s="87"/>
      <c r="K11" s="87"/>
      <c r="L11" s="87"/>
      <c r="M11" s="87"/>
      <c r="N11" s="87"/>
      <c r="O11" s="87"/>
      <c r="P11" s="87"/>
      <c r="Q11" s="86"/>
    </row>
    <row r="12" spans="1:21" ht="39.950000000000003" customHeight="1" x14ac:dyDescent="0.25">
      <c r="A12" s="149" t="s">
        <v>124</v>
      </c>
      <c r="B12" s="150">
        <v>263909.48534999997</v>
      </c>
      <c r="C12" s="151">
        <v>3.4999999999999858E-2</v>
      </c>
      <c r="E12" s="88"/>
      <c r="F12" s="87"/>
      <c r="G12" s="87"/>
      <c r="H12" s="87"/>
      <c r="I12" s="87"/>
      <c r="J12" s="87"/>
      <c r="K12" s="87"/>
      <c r="L12" s="87"/>
      <c r="M12" s="87"/>
      <c r="N12" s="87"/>
      <c r="O12" s="87"/>
      <c r="P12" s="87"/>
      <c r="Q12" s="86"/>
    </row>
    <row r="13" spans="1:21" ht="39.950000000000003" customHeight="1" x14ac:dyDescent="0.25">
      <c r="A13" s="149" t="s">
        <v>97</v>
      </c>
      <c r="B13" s="150">
        <v>91514.342834374984</v>
      </c>
      <c r="C13" s="151">
        <v>3.6999999999999998E-2</v>
      </c>
      <c r="E13" s="88"/>
      <c r="F13" s="87"/>
      <c r="G13" s="87"/>
      <c r="H13" s="87"/>
      <c r="I13" s="87"/>
      <c r="J13" s="87"/>
      <c r="K13" s="87"/>
      <c r="L13" s="87"/>
      <c r="M13" s="87"/>
      <c r="N13" s="87"/>
      <c r="O13" s="87"/>
      <c r="P13" s="87"/>
      <c r="Q13" s="86"/>
    </row>
    <row r="14" spans="1:21" ht="39.950000000000003" customHeight="1" x14ac:dyDescent="0.25">
      <c r="A14" s="116" t="s">
        <v>103</v>
      </c>
      <c r="B14" s="124">
        <v>815423.82818437496</v>
      </c>
      <c r="C14" s="123">
        <v>6.4977668404779297E-3</v>
      </c>
      <c r="E14" s="88"/>
      <c r="F14" s="87"/>
      <c r="G14" s="87"/>
      <c r="H14" s="87"/>
      <c r="I14" s="87"/>
      <c r="J14" s="87"/>
      <c r="K14" s="87"/>
      <c r="L14" s="87"/>
      <c r="M14" s="87"/>
      <c r="N14" s="87"/>
      <c r="O14" s="87"/>
      <c r="P14" s="87"/>
      <c r="Q14" s="86"/>
    </row>
    <row r="15" spans="1:21" ht="8.1" customHeight="1" x14ac:dyDescent="0.25">
      <c r="A15" s="108"/>
      <c r="B15" s="119"/>
      <c r="C15" s="108"/>
      <c r="E15" s="88"/>
      <c r="F15" s="87"/>
      <c r="G15" s="87"/>
      <c r="H15" s="87"/>
      <c r="I15" s="87"/>
      <c r="J15" s="87"/>
      <c r="K15" s="87"/>
      <c r="L15" s="87"/>
      <c r="M15" s="87"/>
      <c r="N15" s="87"/>
      <c r="O15" s="87"/>
      <c r="P15" s="87"/>
      <c r="Q15" s="86"/>
    </row>
    <row r="16" spans="1:21" ht="39.950000000000003" customHeight="1" x14ac:dyDescent="0.25">
      <c r="A16" s="116" t="s">
        <v>102</v>
      </c>
      <c r="B16" s="125">
        <v>45026.171815625043</v>
      </c>
      <c r="C16" s="122">
        <v>3.9011394921012417E-2</v>
      </c>
      <c r="E16" s="88"/>
      <c r="F16" s="87"/>
      <c r="G16" s="87"/>
      <c r="H16" s="87"/>
      <c r="I16" s="87"/>
      <c r="J16" s="87"/>
      <c r="K16" s="87"/>
      <c r="L16" s="87"/>
      <c r="M16" s="87"/>
      <c r="N16" s="87"/>
      <c r="O16" s="87"/>
      <c r="P16" s="87"/>
      <c r="Q16" s="86"/>
    </row>
    <row r="17" spans="1:17" ht="8.1" customHeight="1" x14ac:dyDescent="0.25">
      <c r="A17" s="108"/>
      <c r="B17" s="119"/>
      <c r="C17" s="108"/>
      <c r="E17" s="88"/>
      <c r="F17" s="87"/>
      <c r="G17" s="87"/>
      <c r="H17" s="87"/>
      <c r="I17" s="87"/>
      <c r="J17" s="87"/>
      <c r="K17" s="87"/>
      <c r="L17" s="87"/>
      <c r="M17" s="87"/>
      <c r="N17" s="87"/>
      <c r="O17" s="87"/>
      <c r="P17" s="87"/>
      <c r="Q17" s="86"/>
    </row>
    <row r="18" spans="1:17" ht="39.950000000000003" customHeight="1" x14ac:dyDescent="0.25">
      <c r="A18" s="116" t="s">
        <v>110</v>
      </c>
      <c r="B18" s="125">
        <v>906.17181562504265</v>
      </c>
      <c r="C18" s="126" t="s">
        <v>125</v>
      </c>
      <c r="E18" s="88"/>
      <c r="F18" s="87"/>
      <c r="G18" s="87"/>
      <c r="H18" s="87"/>
      <c r="I18" s="87"/>
      <c r="J18" s="87"/>
      <c r="K18" s="87"/>
      <c r="L18" s="87"/>
      <c r="M18" s="87"/>
      <c r="N18" s="87"/>
      <c r="O18" s="87"/>
      <c r="P18" s="87"/>
      <c r="Q18" s="86"/>
    </row>
    <row r="19" spans="1:17" ht="8.1" customHeight="1" x14ac:dyDescent="0.25">
      <c r="A19" s="117"/>
      <c r="B19" s="117"/>
      <c r="C19" s="117"/>
      <c r="E19" s="88"/>
      <c r="F19" s="87"/>
      <c r="G19" s="87"/>
      <c r="H19" s="87"/>
      <c r="I19" s="87"/>
      <c r="J19" s="87"/>
      <c r="K19" s="87"/>
      <c r="L19" s="87"/>
      <c r="M19" s="87"/>
      <c r="N19" s="87"/>
      <c r="O19" s="87"/>
      <c r="P19" s="87"/>
      <c r="Q19" s="86"/>
    </row>
    <row r="20" spans="1:17" ht="39.950000000000003" customHeight="1" x14ac:dyDescent="0.25">
      <c r="A20" s="116" t="s">
        <v>111</v>
      </c>
      <c r="B20" s="126">
        <v>0.88777082583159106</v>
      </c>
      <c r="C20" s="123">
        <v>-3.7758052877157798E-2</v>
      </c>
      <c r="E20" s="85"/>
      <c r="F20" s="84"/>
      <c r="G20" s="84"/>
      <c r="H20" s="84"/>
      <c r="I20" s="84"/>
      <c r="J20" s="84"/>
      <c r="K20" s="84"/>
      <c r="L20" s="84"/>
      <c r="M20" s="84"/>
      <c r="N20" s="84"/>
      <c r="O20" s="84"/>
      <c r="P20" s="84"/>
      <c r="Q20" s="83"/>
    </row>
    <row r="21" spans="1:17" x14ac:dyDescent="0.25">
      <c r="E21" s="87"/>
      <c r="F21" s="87"/>
      <c r="G21" s="87"/>
      <c r="H21" s="87"/>
      <c r="I21" s="87"/>
      <c r="J21" s="87"/>
      <c r="K21" s="87"/>
      <c r="L21" s="87"/>
      <c r="M21" s="87"/>
      <c r="N21" s="87"/>
      <c r="O21" s="87"/>
    </row>
    <row r="22" spans="1:17" x14ac:dyDescent="0.25">
      <c r="E22" s="87"/>
      <c r="F22" s="87"/>
      <c r="G22" s="87"/>
      <c r="H22" s="87"/>
      <c r="I22" s="87"/>
      <c r="J22" s="87"/>
      <c r="K22" s="87"/>
      <c r="L22" s="87"/>
      <c r="M22" s="87"/>
      <c r="N22" s="87"/>
      <c r="O22" s="87"/>
    </row>
    <row r="23" spans="1:17" x14ac:dyDescent="0.25">
      <c r="A23" s="131" t="s">
        <v>116</v>
      </c>
      <c r="B23" s="131"/>
      <c r="C23" s="131"/>
      <c r="D23" s="131"/>
      <c r="E23" s="131"/>
      <c r="F23" s="131"/>
      <c r="G23" s="131"/>
      <c r="H23" s="131"/>
      <c r="I23" s="131"/>
      <c r="J23" s="131"/>
      <c r="K23" s="131"/>
      <c r="L23" s="131"/>
      <c r="M23" s="131"/>
      <c r="N23" s="131"/>
      <c r="O23" s="131"/>
      <c r="P23" s="131"/>
      <c r="Q23" s="131"/>
    </row>
    <row r="24" spans="1:17" x14ac:dyDescent="0.25">
      <c r="A24" s="131"/>
      <c r="B24" s="131"/>
      <c r="C24" s="131"/>
      <c r="D24" s="131"/>
      <c r="E24" s="131"/>
      <c r="F24" s="131"/>
      <c r="G24" s="131"/>
      <c r="H24" s="131"/>
      <c r="I24" s="131"/>
      <c r="J24" s="131"/>
      <c r="K24" s="131"/>
      <c r="L24" s="131"/>
      <c r="M24" s="131"/>
      <c r="N24" s="131"/>
      <c r="O24" s="131"/>
      <c r="P24" s="131"/>
      <c r="Q24" s="131"/>
    </row>
    <row r="25" spans="1:17" x14ac:dyDescent="0.25">
      <c r="A25" s="131"/>
      <c r="B25" s="131"/>
      <c r="C25" s="131"/>
      <c r="D25" s="131"/>
      <c r="E25" s="131"/>
      <c r="F25" s="131"/>
      <c r="G25" s="131"/>
      <c r="H25" s="131"/>
      <c r="I25" s="131"/>
      <c r="J25" s="131"/>
      <c r="K25" s="131"/>
      <c r="L25" s="131"/>
      <c r="M25" s="131"/>
      <c r="N25" s="131"/>
      <c r="O25" s="131"/>
      <c r="P25" s="131"/>
      <c r="Q25" s="131"/>
    </row>
    <row r="26" spans="1:17" x14ac:dyDescent="0.25">
      <c r="A26" s="91"/>
      <c r="B26" s="90"/>
      <c r="C26" s="90"/>
      <c r="D26" s="90"/>
      <c r="E26" s="90"/>
      <c r="F26" s="90"/>
      <c r="G26" s="90"/>
      <c r="H26" s="90"/>
      <c r="I26" s="90"/>
      <c r="J26" s="90"/>
      <c r="K26" s="90"/>
      <c r="L26" s="90"/>
      <c r="M26" s="90"/>
      <c r="N26" s="90"/>
      <c r="O26" s="90"/>
      <c r="P26" s="90"/>
      <c r="Q26" s="89"/>
    </row>
    <row r="27" spans="1:17" x14ac:dyDescent="0.25">
      <c r="A27" s="88" t="s">
        <v>126</v>
      </c>
      <c r="B27" s="87"/>
      <c r="C27" s="87"/>
      <c r="D27" s="87"/>
      <c r="E27" s="87"/>
      <c r="F27" s="87"/>
      <c r="G27" s="87"/>
      <c r="H27" s="87"/>
      <c r="I27" s="87"/>
      <c r="J27" s="87"/>
      <c r="K27" s="87"/>
      <c r="L27" s="87"/>
      <c r="M27" s="87"/>
      <c r="N27" s="87"/>
      <c r="O27" s="87"/>
      <c r="P27" s="87"/>
      <c r="Q27" s="86"/>
    </row>
    <row r="28" spans="1:17" x14ac:dyDescent="0.25">
      <c r="A28" s="88"/>
      <c r="B28" s="87"/>
      <c r="C28" s="87"/>
      <c r="D28" s="87"/>
      <c r="E28" s="87"/>
      <c r="F28" s="87"/>
      <c r="G28" s="87"/>
      <c r="H28" s="87"/>
      <c r="I28" s="87"/>
      <c r="J28" s="87"/>
      <c r="K28" s="87"/>
      <c r="L28" s="87"/>
      <c r="M28" s="87"/>
      <c r="N28" s="87"/>
      <c r="O28" s="87"/>
      <c r="P28" s="87"/>
      <c r="Q28" s="86"/>
    </row>
    <row r="29" spans="1:17" x14ac:dyDescent="0.25">
      <c r="A29" s="88" t="s">
        <v>133</v>
      </c>
      <c r="B29" s="87"/>
      <c r="C29" s="87"/>
      <c r="D29" s="87"/>
      <c r="E29" s="87"/>
      <c r="F29" s="87"/>
      <c r="G29" s="87"/>
      <c r="H29" s="87"/>
      <c r="I29" s="87"/>
      <c r="J29" s="87"/>
      <c r="K29" s="87"/>
      <c r="L29" s="87"/>
      <c r="M29" s="87"/>
      <c r="N29" s="87"/>
      <c r="O29" s="87"/>
      <c r="P29" s="87"/>
      <c r="Q29" s="86"/>
    </row>
    <row r="30" spans="1:17" x14ac:dyDescent="0.25">
      <c r="A30" s="88"/>
      <c r="B30" s="87"/>
      <c r="C30" s="87"/>
      <c r="D30" s="87"/>
      <c r="E30" s="87"/>
      <c r="F30" s="87"/>
      <c r="G30" s="87"/>
      <c r="H30" s="87"/>
      <c r="I30" s="87"/>
      <c r="J30" s="87"/>
      <c r="K30" s="87"/>
      <c r="L30" s="87"/>
      <c r="M30" s="87"/>
      <c r="N30" s="87"/>
      <c r="O30" s="87"/>
      <c r="P30" s="87"/>
      <c r="Q30" s="86"/>
    </row>
    <row r="31" spans="1:17" x14ac:dyDescent="0.25">
      <c r="A31" s="88" t="s">
        <v>127</v>
      </c>
      <c r="B31" s="87"/>
      <c r="C31" s="87"/>
      <c r="D31" s="87"/>
      <c r="E31" s="87"/>
      <c r="F31" s="87"/>
      <c r="G31" s="87"/>
      <c r="H31" s="87"/>
      <c r="I31" s="87"/>
      <c r="J31" s="87"/>
      <c r="K31" s="87"/>
      <c r="L31" s="87"/>
      <c r="M31" s="87"/>
      <c r="N31" s="87"/>
      <c r="O31" s="87"/>
      <c r="P31" s="87"/>
      <c r="Q31" s="86"/>
    </row>
    <row r="32" spans="1:17" x14ac:dyDescent="0.25">
      <c r="A32" s="88"/>
      <c r="B32" s="87"/>
      <c r="C32" s="87"/>
      <c r="D32" s="87"/>
      <c r="E32" s="87"/>
      <c r="F32" s="87"/>
      <c r="G32" s="87"/>
      <c r="H32" s="87"/>
      <c r="I32" s="87"/>
      <c r="J32" s="87"/>
      <c r="K32" s="87"/>
      <c r="L32" s="87"/>
      <c r="M32" s="87"/>
      <c r="N32" s="87"/>
      <c r="O32" s="87"/>
      <c r="P32" s="87"/>
      <c r="Q32" s="86"/>
    </row>
    <row r="33" spans="1:17" x14ac:dyDescent="0.25">
      <c r="A33" s="88" t="s">
        <v>128</v>
      </c>
      <c r="B33" s="87"/>
      <c r="C33" s="87"/>
      <c r="D33" s="87"/>
      <c r="E33" s="87"/>
      <c r="F33" s="87"/>
      <c r="G33" s="87"/>
      <c r="H33" s="87"/>
      <c r="I33" s="87"/>
      <c r="J33" s="87"/>
      <c r="K33" s="87"/>
      <c r="L33" s="87"/>
      <c r="M33" s="87"/>
      <c r="N33" s="87"/>
      <c r="O33" s="87"/>
      <c r="P33" s="87"/>
      <c r="Q33" s="86"/>
    </row>
    <row r="34" spans="1:17" x14ac:dyDescent="0.25">
      <c r="A34" s="88"/>
      <c r="B34" s="87"/>
      <c r="C34" s="87"/>
      <c r="D34" s="87"/>
      <c r="E34" s="87"/>
      <c r="F34" s="87"/>
      <c r="G34" s="87"/>
      <c r="H34" s="87"/>
      <c r="I34" s="87"/>
      <c r="J34" s="87"/>
      <c r="K34" s="87"/>
      <c r="L34" s="87"/>
      <c r="M34" s="87"/>
      <c r="N34" s="87"/>
      <c r="O34" s="87"/>
      <c r="P34" s="87"/>
      <c r="Q34" s="86"/>
    </row>
    <row r="35" spans="1:17" x14ac:dyDescent="0.25">
      <c r="A35" s="88" t="s">
        <v>129</v>
      </c>
      <c r="B35" s="87"/>
      <c r="C35" s="87"/>
      <c r="D35" s="87"/>
      <c r="E35" s="87"/>
      <c r="F35" s="87"/>
      <c r="G35" s="87"/>
      <c r="H35" s="87"/>
      <c r="I35" s="87"/>
      <c r="J35" s="87"/>
      <c r="K35" s="87"/>
      <c r="L35" s="87"/>
      <c r="M35" s="87"/>
      <c r="N35" s="87"/>
      <c r="O35" s="87"/>
      <c r="P35" s="87"/>
      <c r="Q35" s="86"/>
    </row>
    <row r="36" spans="1:17" x14ac:dyDescent="0.25">
      <c r="A36" s="88"/>
      <c r="B36" s="87"/>
      <c r="C36" s="87"/>
      <c r="D36" s="87"/>
      <c r="E36" s="87"/>
      <c r="F36" s="87"/>
      <c r="G36" s="87"/>
      <c r="H36" s="87"/>
      <c r="I36" s="87"/>
      <c r="J36" s="87"/>
      <c r="K36" s="87"/>
      <c r="L36" s="87"/>
      <c r="M36" s="87"/>
      <c r="N36" s="87"/>
      <c r="O36" s="87"/>
      <c r="P36" s="87"/>
      <c r="Q36" s="86"/>
    </row>
    <row r="37" spans="1:17" x14ac:dyDescent="0.25">
      <c r="A37" s="88" t="s">
        <v>130</v>
      </c>
      <c r="B37" s="87"/>
      <c r="C37" s="87"/>
      <c r="D37" s="87"/>
      <c r="E37" s="87"/>
      <c r="F37" s="87"/>
      <c r="G37" s="87"/>
      <c r="H37" s="87"/>
      <c r="I37" s="87"/>
      <c r="J37" s="87"/>
      <c r="K37" s="87"/>
      <c r="L37" s="87"/>
      <c r="M37" s="87"/>
      <c r="N37" s="87"/>
      <c r="O37" s="87"/>
      <c r="P37" s="87"/>
      <c r="Q37" s="86"/>
    </row>
    <row r="38" spans="1:17" x14ac:dyDescent="0.25">
      <c r="A38" s="88"/>
      <c r="B38" s="87"/>
      <c r="C38" s="87"/>
      <c r="D38" s="87"/>
      <c r="E38" s="87"/>
      <c r="F38" s="87"/>
      <c r="G38" s="87"/>
      <c r="H38" s="87"/>
      <c r="I38" s="87"/>
      <c r="J38" s="87"/>
      <c r="K38" s="87"/>
      <c r="L38" s="87"/>
      <c r="M38" s="87"/>
      <c r="N38" s="87"/>
      <c r="O38" s="87"/>
      <c r="P38" s="87"/>
      <c r="Q38" s="86"/>
    </row>
    <row r="39" spans="1:17" x14ac:dyDescent="0.25">
      <c r="A39" s="132" t="s">
        <v>131</v>
      </c>
      <c r="B39" s="133"/>
      <c r="C39" s="133"/>
      <c r="D39" s="133"/>
      <c r="E39" s="133"/>
      <c r="F39" s="133"/>
      <c r="G39" s="133"/>
      <c r="H39" s="133"/>
      <c r="I39" s="133"/>
      <c r="J39" s="133"/>
      <c r="K39" s="133"/>
      <c r="L39" s="133"/>
      <c r="M39" s="133"/>
      <c r="N39" s="133"/>
      <c r="O39" s="133"/>
      <c r="P39" s="133"/>
      <c r="Q39" s="86"/>
    </row>
    <row r="40" spans="1:17" x14ac:dyDescent="0.25">
      <c r="A40" s="132"/>
      <c r="B40" s="133"/>
      <c r="C40" s="133"/>
      <c r="D40" s="133"/>
      <c r="E40" s="133"/>
      <c r="F40" s="133"/>
      <c r="G40" s="133"/>
      <c r="H40" s="133"/>
      <c r="I40" s="133"/>
      <c r="J40" s="133"/>
      <c r="K40" s="133"/>
      <c r="L40" s="133"/>
      <c r="M40" s="133"/>
      <c r="N40" s="133"/>
      <c r="O40" s="133"/>
      <c r="P40" s="133"/>
      <c r="Q40" s="86"/>
    </row>
    <row r="41" spans="1:17" x14ac:dyDescent="0.25">
      <c r="A41" s="88"/>
      <c r="B41" s="87"/>
      <c r="C41" s="87"/>
      <c r="D41" s="87"/>
      <c r="E41" s="87"/>
      <c r="F41" s="87"/>
      <c r="G41" s="87"/>
      <c r="H41" s="87"/>
      <c r="I41" s="87"/>
      <c r="J41" s="87"/>
      <c r="K41" s="87"/>
      <c r="L41" s="87"/>
      <c r="M41" s="87"/>
      <c r="N41" s="87"/>
      <c r="O41" s="87"/>
      <c r="P41" s="87"/>
      <c r="Q41" s="86"/>
    </row>
    <row r="42" spans="1:17" x14ac:dyDescent="0.25">
      <c r="A42" s="88"/>
      <c r="B42" s="87"/>
      <c r="C42" s="87"/>
      <c r="D42" s="87"/>
      <c r="E42" s="87"/>
      <c r="F42" s="87"/>
      <c r="G42" s="87"/>
      <c r="H42" s="87"/>
      <c r="I42" s="87"/>
      <c r="J42" s="87"/>
      <c r="K42" s="87"/>
      <c r="L42" s="87"/>
      <c r="M42" s="87"/>
      <c r="N42" s="87"/>
      <c r="O42" s="87"/>
      <c r="P42" s="87"/>
      <c r="Q42" s="86"/>
    </row>
    <row r="43" spans="1:17" x14ac:dyDescent="0.25">
      <c r="A43" s="88" t="s">
        <v>132</v>
      </c>
      <c r="B43" s="87"/>
      <c r="C43" s="87"/>
      <c r="D43" s="87"/>
      <c r="E43" s="87"/>
      <c r="F43" s="87"/>
      <c r="G43" s="87"/>
      <c r="H43" s="87"/>
      <c r="I43" s="87"/>
      <c r="J43" s="87"/>
      <c r="K43" s="87"/>
      <c r="L43" s="87"/>
      <c r="M43" s="87"/>
      <c r="N43" s="87"/>
      <c r="O43" s="87"/>
      <c r="P43" s="87"/>
      <c r="Q43" s="86"/>
    </row>
    <row r="44" spans="1:17" x14ac:dyDescent="0.25">
      <c r="A44" s="88"/>
      <c r="B44" s="87"/>
      <c r="C44" s="87"/>
      <c r="D44" s="87"/>
      <c r="E44" s="87"/>
      <c r="F44" s="87"/>
      <c r="G44" s="87"/>
      <c r="H44" s="87"/>
      <c r="I44" s="87"/>
      <c r="J44" s="87"/>
      <c r="K44" s="87"/>
      <c r="L44" s="87"/>
      <c r="M44" s="87"/>
      <c r="N44" s="87"/>
      <c r="O44" s="87"/>
      <c r="P44" s="87"/>
      <c r="Q44" s="86"/>
    </row>
    <row r="45" spans="1:17" x14ac:dyDescent="0.25">
      <c r="A45" s="88"/>
      <c r="B45" s="87"/>
      <c r="C45" s="87"/>
      <c r="D45" s="87"/>
      <c r="E45" s="87"/>
      <c r="F45" s="87"/>
      <c r="G45" s="87"/>
      <c r="H45" s="87"/>
      <c r="I45" s="87"/>
      <c r="J45" s="87"/>
      <c r="K45" s="87"/>
      <c r="L45" s="87"/>
      <c r="M45" s="114"/>
      <c r="N45" s="87"/>
      <c r="O45" s="87"/>
      <c r="P45" s="87"/>
      <c r="Q45" s="86"/>
    </row>
    <row r="46" spans="1:17" x14ac:dyDescent="0.25">
      <c r="A46" s="85"/>
      <c r="B46" s="84"/>
      <c r="C46" s="84"/>
      <c r="D46" s="84"/>
      <c r="E46" s="84"/>
      <c r="F46" s="84"/>
      <c r="G46" s="84"/>
      <c r="H46" s="84"/>
      <c r="I46" s="84"/>
      <c r="J46" s="84"/>
      <c r="K46" s="84"/>
      <c r="L46" s="84"/>
      <c r="M46" s="84"/>
      <c r="N46" s="84"/>
      <c r="O46" s="84"/>
      <c r="P46" s="84"/>
      <c r="Q46" s="83"/>
    </row>
    <row r="47" spans="1:17" x14ac:dyDescent="0.25">
      <c r="A47" s="87"/>
      <c r="B47" s="87"/>
      <c r="C47" s="87"/>
      <c r="D47" s="87"/>
      <c r="E47" s="87"/>
      <c r="F47" s="87"/>
      <c r="G47" s="87"/>
      <c r="H47" s="87"/>
      <c r="I47" s="87"/>
      <c r="J47" s="87"/>
      <c r="K47" s="87"/>
      <c r="L47" s="87"/>
      <c r="M47" s="87"/>
      <c r="N47" s="87"/>
      <c r="O47" s="87"/>
      <c r="P47" s="87"/>
      <c r="Q47" s="87"/>
    </row>
    <row r="48" spans="1:17" x14ac:dyDescent="0.25">
      <c r="A48" s="87"/>
      <c r="B48" s="87"/>
      <c r="C48" s="87"/>
      <c r="D48" s="87"/>
      <c r="E48" s="87"/>
      <c r="F48" s="87"/>
      <c r="G48" s="87"/>
      <c r="H48" s="87"/>
      <c r="I48" s="87"/>
      <c r="J48" s="87"/>
      <c r="K48" s="87"/>
      <c r="L48" s="87"/>
      <c r="M48" s="87"/>
      <c r="N48" s="87"/>
      <c r="O48" s="87"/>
      <c r="P48" s="87"/>
      <c r="Q48" s="87"/>
    </row>
    <row r="49" spans="1:25" x14ac:dyDescent="0.25">
      <c r="A49" s="87"/>
      <c r="B49" s="87"/>
      <c r="C49" s="87"/>
      <c r="D49" s="87"/>
      <c r="E49" s="87"/>
      <c r="F49" s="87"/>
      <c r="G49" s="87"/>
      <c r="H49" s="87"/>
      <c r="I49" s="87"/>
      <c r="J49" s="87"/>
      <c r="K49" s="87"/>
      <c r="L49" s="87"/>
      <c r="M49" s="87"/>
      <c r="N49" s="87"/>
      <c r="O49" s="87"/>
      <c r="P49" s="87"/>
      <c r="Q49" s="87"/>
    </row>
    <row r="50" spans="1:25" x14ac:dyDescent="0.25">
      <c r="A50" s="87"/>
      <c r="B50" s="87"/>
      <c r="C50" s="87"/>
      <c r="D50" s="87"/>
      <c r="E50" s="87"/>
      <c r="F50" s="87"/>
      <c r="G50" s="87"/>
      <c r="H50" s="87"/>
      <c r="I50" s="87"/>
      <c r="J50" s="87"/>
      <c r="K50" s="87"/>
      <c r="L50" s="87"/>
      <c r="M50" s="87"/>
      <c r="N50" s="87"/>
      <c r="O50" s="87"/>
      <c r="P50" s="87"/>
      <c r="Q50" s="87"/>
    </row>
    <row r="52" spans="1:25" x14ac:dyDescent="0.25">
      <c r="M52" s="78">
        <v>2017</v>
      </c>
      <c r="N52" s="78">
        <v>2018</v>
      </c>
      <c r="O52" s="78">
        <v>2019</v>
      </c>
      <c r="P52" s="78">
        <v>2020</v>
      </c>
      <c r="Q52" s="78" t="s">
        <v>142</v>
      </c>
      <c r="S52" s="115" t="s">
        <v>117</v>
      </c>
    </row>
    <row r="53" spans="1:25" x14ac:dyDescent="0.25">
      <c r="L53" t="s">
        <v>101</v>
      </c>
      <c r="M53" s="81">
        <v>879</v>
      </c>
      <c r="N53" s="81">
        <v>703</v>
      </c>
      <c r="O53" s="81">
        <v>697</v>
      </c>
      <c r="P53" s="81">
        <f>'Budget vs Actual w History'!G7</f>
        <v>860</v>
      </c>
      <c r="Q53" s="81">
        <f>'Budget vs Actual w History'!I7</f>
        <v>825</v>
      </c>
      <c r="S53" s="107">
        <f>(Q53/M53)^(1/5)-1</f>
        <v>-1.2600245973873658E-2</v>
      </c>
    </row>
    <row r="54" spans="1:25" x14ac:dyDescent="0.25">
      <c r="L54" t="s">
        <v>100</v>
      </c>
      <c r="M54" s="81">
        <v>214</v>
      </c>
      <c r="N54" s="81">
        <v>257</v>
      </c>
      <c r="O54" s="81">
        <v>282</v>
      </c>
      <c r="P54" s="81">
        <f>'Budget vs Actual w History'!G8</f>
        <v>329</v>
      </c>
      <c r="Q54" s="81">
        <f>'Budget vs Actual w History'!I8</f>
        <v>250</v>
      </c>
      <c r="S54" s="107">
        <f>(Q54/M54)^(1/5)-1</f>
        <v>3.158554278749115E-2</v>
      </c>
      <c r="U54" s="130" t="s">
        <v>114</v>
      </c>
      <c r="V54" s="130"/>
      <c r="W54" s="130"/>
      <c r="X54" s="130"/>
      <c r="Y54" s="130"/>
    </row>
    <row r="55" spans="1:25" x14ac:dyDescent="0.25">
      <c r="M55" s="78">
        <v>2017</v>
      </c>
      <c r="N55" s="78">
        <v>2018</v>
      </c>
      <c r="O55" s="78">
        <v>2019</v>
      </c>
      <c r="P55" s="78">
        <v>2020</v>
      </c>
      <c r="Q55" s="78" t="s">
        <v>142</v>
      </c>
      <c r="S55" s="115" t="s">
        <v>117</v>
      </c>
      <c r="U55" s="78">
        <v>2016</v>
      </c>
      <c r="V55" s="78">
        <v>2017</v>
      </c>
      <c r="W55" s="78">
        <v>2018</v>
      </c>
      <c r="X55" s="78">
        <v>2019</v>
      </c>
      <c r="Y55" s="78">
        <v>2020</v>
      </c>
    </row>
    <row r="56" spans="1:25" x14ac:dyDescent="0.25">
      <c r="L56" t="s">
        <v>99</v>
      </c>
      <c r="M56" s="80">
        <v>7436.66</v>
      </c>
      <c r="N56" s="80">
        <v>8316.75</v>
      </c>
      <c r="O56" s="80">
        <v>14872.95</v>
      </c>
      <c r="P56" s="80">
        <f>'Budget vs Actual w History'!G35</f>
        <v>2933.99</v>
      </c>
      <c r="Q56" s="80">
        <f>'Budget vs Actual w History'!I35</f>
        <v>16200</v>
      </c>
      <c r="S56" s="107">
        <f>(Q56/M56)^(1/5)-1</f>
        <v>0.16849650477342548</v>
      </c>
      <c r="U56" s="107">
        <f>M56/SUM(M56:M60)</f>
        <v>1.1362437051965223E-2</v>
      </c>
      <c r="V56" s="107">
        <f>N56/SUM(N56:N60)</f>
        <v>1.2375965239352218E-2</v>
      </c>
      <c r="W56" s="107">
        <f>O56/SUM(O56:O60)</f>
        <v>1.9711311348796837E-2</v>
      </c>
      <c r="X56" s="107">
        <f>P56/SUM(P56:P60)</f>
        <v>3.621496307641111E-3</v>
      </c>
      <c r="Y56" s="107">
        <f>Q56/SUM(Q56:Q60)</f>
        <v>1.9866969102522999E-2</v>
      </c>
    </row>
    <row r="57" spans="1:25" x14ac:dyDescent="0.25">
      <c r="L57" t="s">
        <v>39</v>
      </c>
      <c r="M57" s="77">
        <v>34786.199999999997</v>
      </c>
      <c r="N57" s="77">
        <v>28618.059999999998</v>
      </c>
      <c r="O57" s="77">
        <v>29463.38</v>
      </c>
      <c r="P57" s="77">
        <f>'Budget vs Actual w History'!G40</f>
        <v>40790.279999999984</v>
      </c>
      <c r="Q57" s="77">
        <f>'Budget vs Actual w History'!I40</f>
        <v>35300</v>
      </c>
      <c r="S57" s="107">
        <f>(Q57/M57)^(1/5)-1</f>
        <v>2.9367453185353831E-3</v>
      </c>
      <c r="U57" s="107">
        <f>M57/SUM(M56:M60)</f>
        <v>5.3149667697201787E-2</v>
      </c>
      <c r="V57" s="107">
        <f>N57/SUM(N56:N60)</f>
        <v>4.2585879794113816E-2</v>
      </c>
      <c r="W57" s="107">
        <f>O57/SUM(O56:O60)</f>
        <v>3.9048195318878487E-2</v>
      </c>
      <c r="X57" s="107">
        <f>P57/SUM(P56:P60)</f>
        <v>5.0348449860990331E-2</v>
      </c>
      <c r="Y57" s="107">
        <f>Q57/SUM(Q56:Q60)</f>
        <v>4.3290370945621104E-2</v>
      </c>
    </row>
    <row r="58" spans="1:25" x14ac:dyDescent="0.25">
      <c r="L58" t="s">
        <v>98</v>
      </c>
      <c r="M58" s="77">
        <v>131756</v>
      </c>
      <c r="N58" s="77">
        <v>183067</v>
      </c>
      <c r="O58" s="77">
        <v>239774.86</v>
      </c>
      <c r="P58" s="77">
        <f>'Budget vs Actual w History'!F64+'Budget vs Actual w History'!G65</f>
        <v>248234.97</v>
      </c>
      <c r="Q58" s="77">
        <f>'Budget vs Actual w History'!I64+'Budget vs Actual w History'!I65</f>
        <v>267200</v>
      </c>
      <c r="S58" s="107">
        <f>(Q58/M58)^(1/5)-1</f>
        <v>0.15189584158616221</v>
      </c>
      <c r="U58" s="107">
        <f>M58/SUM(M56:M60)</f>
        <v>0.20130935880068876</v>
      </c>
      <c r="V58" s="107">
        <f>N58/SUM(N56:N60)</f>
        <v>0.27241781086031114</v>
      </c>
      <c r="W58" s="107">
        <f>O58/SUM(O56:O60)</f>
        <v>0.31777669655812546</v>
      </c>
      <c r="X58" s="107">
        <f>P58/SUM(P56:P60)</f>
        <v>0.30640255327468807</v>
      </c>
      <c r="Y58" s="107">
        <f>Q58/SUM(Q56:Q60)</f>
        <v>0.32768235457988554</v>
      </c>
    </row>
    <row r="59" spans="1:25" x14ac:dyDescent="0.25">
      <c r="L59" t="s">
        <v>113</v>
      </c>
      <c r="M59" s="77">
        <v>289394.72611064179</v>
      </c>
      <c r="N59" s="77">
        <v>252820.51</v>
      </c>
      <c r="O59" s="77">
        <v>253473.05000000002</v>
      </c>
      <c r="P59" s="77">
        <f>'Budget vs Actual w History'!F52+'Budget vs Actual w History'!G53</f>
        <v>254941.31000000003</v>
      </c>
      <c r="Q59" s="77">
        <f>'Budget vs Actual w History'!I52+'Budget vs Actual w History'!I53</f>
        <v>280403.82818437496</v>
      </c>
      <c r="S59" s="107">
        <f>(Q59/M59)^(1/5)-1</f>
        <v>-6.2922767601677476E-3</v>
      </c>
      <c r="U59" s="107">
        <f>M59/SUM(M56:M60)</f>
        <v>0.4421648103588014</v>
      </c>
      <c r="V59" s="107">
        <f>N59/SUM(N56:N60)</f>
        <v>0.37621641188628968</v>
      </c>
      <c r="W59" s="107">
        <f>O59/SUM(O56:O60)</f>
        <v>0.33593108341513611</v>
      </c>
      <c r="X59" s="107">
        <f>P59/SUM(P56:P60)</f>
        <v>0.31468035434005842</v>
      </c>
      <c r="Y59" s="107">
        <f>Q59/SUM(Q56:Q60)</f>
        <v>0.34387495004741636</v>
      </c>
    </row>
    <row r="60" spans="1:25" x14ac:dyDescent="0.25">
      <c r="L60" t="s">
        <v>97</v>
      </c>
      <c r="M60" s="77">
        <v>191121.56893303531</v>
      </c>
      <c r="N60" s="77">
        <v>199185.86999999994</v>
      </c>
      <c r="O60" s="77">
        <v>216954.59999999998</v>
      </c>
      <c r="P60" s="77">
        <f>'Budget vs Actual w History'!G68-SUM('Budget Update Summary'!P56:P59)</f>
        <v>263259.05000000005</v>
      </c>
      <c r="Q60" s="77">
        <f>'Budget vs Actual w History'!I68-SUM('Budget Update Summary'!Q56:Q59)</f>
        <v>216320</v>
      </c>
      <c r="S60" s="107">
        <f>(Q60/M60)^(1/5)-1</f>
        <v>2.5079136697090609E-2</v>
      </c>
      <c r="U60" s="107">
        <f>M60/SUM(M56:M60)</f>
        <v>0.29201372609134285</v>
      </c>
      <c r="V60" s="107">
        <f>N60/SUM(N56:N60)</f>
        <v>0.29640393221993316</v>
      </c>
      <c r="W60" s="107">
        <f>O60/SUM(O56:O60)</f>
        <v>0.28753271335906311</v>
      </c>
      <c r="X60" s="107">
        <f>P60/SUM(P56:P60)</f>
        <v>0.32494714621662202</v>
      </c>
      <c r="Y60" s="107">
        <f>Q60/SUM(Q56:Q60)</f>
        <v>0.26528535532455405</v>
      </c>
    </row>
    <row r="61" spans="1:25" x14ac:dyDescent="0.25">
      <c r="M61" s="78">
        <v>2017</v>
      </c>
      <c r="N61" s="78">
        <v>2018</v>
      </c>
      <c r="O61" s="78">
        <v>2019</v>
      </c>
      <c r="P61" s="78">
        <v>2020</v>
      </c>
      <c r="Q61" s="78" t="s">
        <v>142</v>
      </c>
      <c r="S61" s="115" t="s">
        <v>117</v>
      </c>
    </row>
    <row r="62" spans="1:25" x14ac:dyDescent="0.25">
      <c r="L62" t="s">
        <v>96</v>
      </c>
      <c r="M62" s="80">
        <v>6.8038975297346749</v>
      </c>
      <c r="N62" s="80">
        <v>8.6632812500000007</v>
      </c>
      <c r="O62" s="80">
        <v>15.191981613891727</v>
      </c>
      <c r="P62" s="80">
        <f>P56/(P53+P54)</f>
        <v>2.4676114381833472</v>
      </c>
      <c r="Q62" s="80">
        <f t="shared" ref="Q62" si="0">Q56/(Q53+Q54)</f>
        <v>15.069767441860465</v>
      </c>
      <c r="S62" s="107">
        <f>(Q62/M62)^(1/5)-1</f>
        <v>0.17238366090572366</v>
      </c>
    </row>
    <row r="63" spans="1:25" x14ac:dyDescent="0.25">
      <c r="L63" t="s">
        <v>95</v>
      </c>
      <c r="M63" s="79">
        <v>31.8263494967978</v>
      </c>
      <c r="N63" s="79">
        <v>29.810479166666664</v>
      </c>
      <c r="O63" s="79">
        <v>30.095383043922372</v>
      </c>
      <c r="P63" s="79">
        <f>P57/(P53+P54)</f>
        <v>34.30637510513035</v>
      </c>
      <c r="Q63" s="79">
        <f t="shared" ref="Q63" si="1">Q57/(Q53+Q54)</f>
        <v>32.837209302325583</v>
      </c>
      <c r="S63" s="107">
        <f>(Q63/M63)^(1/5)-1</f>
        <v>6.2731453025712813E-3</v>
      </c>
    </row>
    <row r="64" spans="1:25" x14ac:dyDescent="0.25">
      <c r="L64" t="s">
        <v>94</v>
      </c>
      <c r="M64" s="79">
        <v>120.54528819762123</v>
      </c>
      <c r="N64" s="79">
        <v>190.69479166666667</v>
      </c>
      <c r="O64" s="79">
        <v>244.91814096016341</v>
      </c>
      <c r="P64" s="79">
        <f>P58/(P53+P54)</f>
        <v>208.77625735912531</v>
      </c>
      <c r="Q64" s="79">
        <f t="shared" ref="Q64" si="2">Q58/(Q53+Q54)</f>
        <v>248.55813953488371</v>
      </c>
      <c r="S64" s="107">
        <f>(Q64/M64)^(1/5)-1</f>
        <v>0.15572777344569189</v>
      </c>
    </row>
    <row r="65" spans="12:19" x14ac:dyDescent="0.25">
      <c r="L65" t="s">
        <v>121</v>
      </c>
      <c r="M65" s="79">
        <v>264.77102114422854</v>
      </c>
      <c r="N65" s="79">
        <v>263.35469791666668</v>
      </c>
      <c r="O65" s="79">
        <v>258.91016343207355</v>
      </c>
      <c r="P65" s="79">
        <f>P59/(P53+P54)</f>
        <v>214.41657695542474</v>
      </c>
      <c r="Q65" s="79">
        <f t="shared" ref="Q65" si="3">Q59/(Q53+Q54)</f>
        <v>260.8407704040697</v>
      </c>
      <c r="S65" s="107"/>
    </row>
    <row r="66" spans="12:19" x14ac:dyDescent="0.25">
      <c r="L66" t="s">
        <v>93</v>
      </c>
      <c r="M66" s="79">
        <v>174.85962390945591</v>
      </c>
      <c r="N66" s="79">
        <v>207.48528124999993</v>
      </c>
      <c r="O66" s="79">
        <v>221.60837589376914</v>
      </c>
      <c r="P66" s="79">
        <f>P60/(P53+P54)</f>
        <v>221.41215306980661</v>
      </c>
      <c r="Q66" s="79">
        <f t="shared" ref="Q66" si="4">Q60/(Q53+Q54)</f>
        <v>201.22790697674418</v>
      </c>
      <c r="S66" s="107">
        <f>(Q66/M66)^(1/5)-1</f>
        <v>2.8489196236015424E-2</v>
      </c>
    </row>
    <row r="67" spans="12:19" x14ac:dyDescent="0.25">
      <c r="M67" s="78">
        <v>2017</v>
      </c>
      <c r="N67" s="78">
        <v>2018</v>
      </c>
      <c r="O67" s="78">
        <v>2019</v>
      </c>
      <c r="P67" s="78">
        <v>2020</v>
      </c>
      <c r="Q67" s="78" t="s">
        <v>142</v>
      </c>
      <c r="S67" s="115" t="s">
        <v>117</v>
      </c>
    </row>
    <row r="68" spans="12:19" x14ac:dyDescent="0.25">
      <c r="L68" t="s">
        <v>92</v>
      </c>
      <c r="M68" s="77">
        <v>160908</v>
      </c>
      <c r="N68" s="77">
        <v>136545</v>
      </c>
      <c r="O68" s="77">
        <v>154918.04999999999</v>
      </c>
      <c r="P68" s="77">
        <f>'Budget vs Actual w History'!G13</f>
        <v>175825.5</v>
      </c>
      <c r="Q68" s="77">
        <f>'Budget vs Actual w History'!I13</f>
        <v>161250</v>
      </c>
      <c r="S68" s="107">
        <f>(Q68/M68)^(1/5)-1</f>
        <v>4.2472668892434839E-4</v>
      </c>
    </row>
    <row r="69" spans="12:19" x14ac:dyDescent="0.25">
      <c r="L69" t="s">
        <v>91</v>
      </c>
      <c r="M69" s="77">
        <v>422113</v>
      </c>
      <c r="N69" s="77">
        <v>413956.9</v>
      </c>
      <c r="O69" s="77">
        <v>494091.55000000005</v>
      </c>
      <c r="P69" s="77">
        <f>'Budget vs Actual w History'!G14</f>
        <v>371390.84</v>
      </c>
      <c r="Q69" s="77">
        <f>'Budget vs Actual w History'!I14</f>
        <v>435000</v>
      </c>
      <c r="S69" s="107">
        <f>(Q69/M69)^(1/5)-1</f>
        <v>6.0327200780443402E-3</v>
      </c>
    </row>
    <row r="70" spans="12:19" x14ac:dyDescent="0.25">
      <c r="L70" t="s">
        <v>90</v>
      </c>
      <c r="M70" s="77">
        <v>102335</v>
      </c>
      <c r="N70" s="77">
        <v>101238</v>
      </c>
      <c r="O70" s="77">
        <v>158031.07</v>
      </c>
      <c r="P70" s="77">
        <f>'Budget vs Actual w History'!G27</f>
        <v>145193.01</v>
      </c>
      <c r="Q70" s="77">
        <f>'Budget vs Actual w History'!I27</f>
        <v>175000</v>
      </c>
      <c r="S70" s="107">
        <f>(Q70/M70)^(1/5)-1</f>
        <v>0.11327580596705977</v>
      </c>
    </row>
    <row r="71" spans="12:19" x14ac:dyDescent="0.25">
      <c r="L71" t="s">
        <v>89</v>
      </c>
      <c r="M71" s="77">
        <v>11000</v>
      </c>
      <c r="N71" s="77">
        <v>41900</v>
      </c>
      <c r="O71" s="77">
        <v>61444.6</v>
      </c>
      <c r="P71" s="77">
        <f>'Budget vs Actual w History'!G15</f>
        <v>93111.679999999993</v>
      </c>
      <c r="Q71" s="77">
        <f>'Budget vs Actual w History'!I15</f>
        <v>65000</v>
      </c>
      <c r="S71" s="107">
        <f>(Q71/M71)^(1/5)-1</f>
        <v>0.42660628926221045</v>
      </c>
    </row>
    <row r="73" spans="12:19" x14ac:dyDescent="0.25">
      <c r="L73" t="s">
        <v>104</v>
      </c>
      <c r="M73" s="77">
        <v>787585.85</v>
      </c>
      <c r="N73" s="77">
        <v>719492</v>
      </c>
      <c r="O73" s="77">
        <v>885341.42</v>
      </c>
      <c r="P73" s="77">
        <f>'Budget vs Actual w History'!G28</f>
        <v>853495.19000000006</v>
      </c>
      <c r="Q73" s="77">
        <f>'Budget vs Actual w History'!I28</f>
        <v>860450</v>
      </c>
      <c r="S73" s="107">
        <f>(Q73/M73)^(1/5)-1</f>
        <v>1.7854138571311795E-2</v>
      </c>
    </row>
    <row r="74" spans="12:19" x14ac:dyDescent="0.25">
      <c r="L74" t="s">
        <v>103</v>
      </c>
      <c r="M74" s="77">
        <v>654495.15504367708</v>
      </c>
      <c r="N74" s="77">
        <v>672008.19</v>
      </c>
      <c r="O74" s="77">
        <v>754538.84</v>
      </c>
      <c r="P74" s="77">
        <f>SUM(P56:P60)</f>
        <v>810159.60000000009</v>
      </c>
      <c r="Q74" s="77">
        <f>SUM(Q56:Q60)</f>
        <v>815423.82818437496</v>
      </c>
      <c r="S74" s="107">
        <f>(Q74/M74)^(1/5)-1</f>
        <v>4.4949716390010996E-2</v>
      </c>
    </row>
    <row r="75" spans="12:19" x14ac:dyDescent="0.25">
      <c r="M75" s="76"/>
      <c r="N75" s="76"/>
      <c r="O75" s="76"/>
      <c r="P75" s="76"/>
      <c r="Q75" s="76"/>
    </row>
    <row r="77" spans="12:19" x14ac:dyDescent="0.25">
      <c r="Q77" s="120">
        <f>Q74/(Q53+Q54)</f>
        <v>758.53379365988371</v>
      </c>
    </row>
    <row r="78" spans="12:19" x14ac:dyDescent="0.25">
      <c r="Q78" s="120">
        <f>Q74/(Q53+Q54)</f>
        <v>758.53379365988371</v>
      </c>
    </row>
    <row r="81" spans="12:17" x14ac:dyDescent="0.25">
      <c r="M81" s="78">
        <v>2016</v>
      </c>
      <c r="N81" s="78">
        <v>2017</v>
      </c>
      <c r="O81" s="78">
        <v>2018</v>
      </c>
      <c r="P81" s="78">
        <v>2019</v>
      </c>
      <c r="Q81" s="78" t="s">
        <v>112</v>
      </c>
    </row>
    <row r="82" spans="12:17" x14ac:dyDescent="0.25">
      <c r="L82" t="s">
        <v>118</v>
      </c>
      <c r="M82" s="77">
        <f>M68/(M53+M54)</f>
        <v>147.21683440073193</v>
      </c>
      <c r="N82" s="77">
        <f>N68/(N53+N54)</f>
        <v>142.234375</v>
      </c>
      <c r="O82" s="77">
        <f>O68/(O53+O54)</f>
        <v>158.24111338100101</v>
      </c>
      <c r="P82" s="77">
        <f>P68/(P53+P54)</f>
        <v>147.87678721614802</v>
      </c>
      <c r="Q82" s="77">
        <f>Q68/(Q53+Q54)</f>
        <v>150</v>
      </c>
    </row>
    <row r="83" spans="12:17" x14ac:dyDescent="0.25">
      <c r="L83" t="s">
        <v>119</v>
      </c>
      <c r="M83" s="77">
        <f>M69/(M53+M54)</f>
        <v>386.19670631290029</v>
      </c>
      <c r="N83" s="77">
        <f t="shared" ref="N83:Q83" si="5">N69/(N53+N54)</f>
        <v>431.20510416666667</v>
      </c>
      <c r="O83" s="77">
        <f t="shared" si="5"/>
        <v>504.69004085801845</v>
      </c>
      <c r="P83" s="77">
        <f t="shared" si="5"/>
        <v>312.35562657695544</v>
      </c>
      <c r="Q83" s="77">
        <f t="shared" si="5"/>
        <v>404.6511627906977</v>
      </c>
    </row>
    <row r="84" spans="12:17" x14ac:dyDescent="0.25">
      <c r="L84" t="s">
        <v>120</v>
      </c>
      <c r="M84" s="77">
        <f>M70/(M53+M54)</f>
        <v>93.627630375114364</v>
      </c>
      <c r="N84" s="77">
        <f t="shared" ref="N84:Q84" si="6">N70/(N53+N54)</f>
        <v>105.45625</v>
      </c>
      <c r="O84" s="77">
        <f t="shared" si="6"/>
        <v>161.42090909090911</v>
      </c>
      <c r="P84" s="77">
        <f t="shared" si="6"/>
        <v>122.11354920100926</v>
      </c>
      <c r="Q84" s="77">
        <f t="shared" si="6"/>
        <v>162.7906976744186</v>
      </c>
    </row>
    <row r="85" spans="12:17" x14ac:dyDescent="0.25">
      <c r="L85" t="s">
        <v>122</v>
      </c>
      <c r="M85" s="77">
        <f>M71/(M53+M54)</f>
        <v>10.064043915827996</v>
      </c>
      <c r="N85" s="77">
        <f t="shared" ref="N85:Q85" si="7">N71/(N53+N54)</f>
        <v>43.645833333333336</v>
      </c>
      <c r="O85" s="77">
        <f t="shared" si="7"/>
        <v>62.762614913176712</v>
      </c>
      <c r="P85" s="77">
        <f t="shared" si="7"/>
        <v>78.310916736753569</v>
      </c>
      <c r="Q85" s="77">
        <f t="shared" si="7"/>
        <v>60.465116279069768</v>
      </c>
    </row>
  </sheetData>
  <mergeCells count="4">
    <mergeCell ref="E1:Q1"/>
    <mergeCell ref="U54:Y54"/>
    <mergeCell ref="A23:Q25"/>
    <mergeCell ref="A39:P40"/>
  </mergeCells>
  <printOptions horizontalCentered="1"/>
  <pageMargins left="0.15" right="0.15" top="1" bottom="0.75" header="0.55000000000000004" footer="0.3"/>
  <pageSetup scale="46" orientation="landscape" r:id="rId1"/>
  <headerFooter>
    <oddHeader>&amp;C&amp;"Arial,Bold"&amp;12Proverbs 12:10 Animal Rescue
2020 Financial Report&amp;"-,Regular"&amp;11
&amp;"Arial,Regular"&amp;10Budget Proposal&amp;R&amp;D</oddHeader>
    <oddFooter>&amp;L&amp;F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zoomScale="90" zoomScaleNormal="90" workbookViewId="0">
      <selection activeCell="E73" sqref="E73"/>
    </sheetView>
  </sheetViews>
  <sheetFormatPr defaultRowHeight="15" x14ac:dyDescent="0.25"/>
  <cols>
    <col min="1" max="1" width="35.7109375" customWidth="1"/>
    <col min="2" max="2" width="20.7109375" customWidth="1"/>
  </cols>
  <sheetData>
    <row r="1" spans="1:2" ht="31.5" x14ac:dyDescent="0.25">
      <c r="A1" s="9" t="s">
        <v>1</v>
      </c>
      <c r="B1" s="92" t="s">
        <v>109</v>
      </c>
    </row>
    <row r="2" spans="1:2" ht="15.75" x14ac:dyDescent="0.25">
      <c r="A2" s="12" t="s">
        <v>5</v>
      </c>
      <c r="B2" s="13">
        <f>'Budget vs Actual w History'!I4</f>
        <v>825</v>
      </c>
    </row>
    <row r="3" spans="1:2" ht="15.75" x14ac:dyDescent="0.25">
      <c r="A3" s="12" t="s">
        <v>6</v>
      </c>
      <c r="B3" s="13">
        <f>'Budget vs Actual w History'!I5</f>
        <v>250</v>
      </c>
    </row>
    <row r="4" spans="1:2" ht="15.75" x14ac:dyDescent="0.25">
      <c r="A4" s="14" t="s">
        <v>7</v>
      </c>
      <c r="B4" s="15">
        <f>SUM(B2:B3)</f>
        <v>1075</v>
      </c>
    </row>
    <row r="5" spans="1:2" ht="15.75" x14ac:dyDescent="0.25">
      <c r="A5" s="12" t="s">
        <v>8</v>
      </c>
      <c r="B5" s="13">
        <f>'Budget vs Actual w History'!I7</f>
        <v>825</v>
      </c>
    </row>
    <row r="6" spans="1:2" ht="15.75" x14ac:dyDescent="0.25">
      <c r="A6" s="12" t="s">
        <v>9</v>
      </c>
      <c r="B6" s="13">
        <f>'Budget vs Actual w History'!I8</f>
        <v>250</v>
      </c>
    </row>
    <row r="7" spans="1:2" ht="15.75" x14ac:dyDescent="0.25">
      <c r="A7" s="14" t="s">
        <v>10</v>
      </c>
      <c r="B7" s="15">
        <f t="shared" ref="B7" si="0">SUM(B5:B6)</f>
        <v>1075</v>
      </c>
    </row>
    <row r="8" spans="1:2" ht="15.75" x14ac:dyDescent="0.25">
      <c r="A8" s="16" t="s">
        <v>11</v>
      </c>
      <c r="B8" s="17">
        <f t="shared" ref="B8" si="1">B4-B7</f>
        <v>0</v>
      </c>
    </row>
    <row r="9" spans="1:2" ht="15.75" x14ac:dyDescent="0.25">
      <c r="A9" s="56"/>
      <c r="B9" s="1"/>
    </row>
    <row r="10" spans="1:2" ht="31.5" x14ac:dyDescent="0.25">
      <c r="A10" s="9" t="s">
        <v>12</v>
      </c>
      <c r="B10" s="92" t="s">
        <v>109</v>
      </c>
    </row>
    <row r="11" spans="1:2" ht="15.75" x14ac:dyDescent="0.25">
      <c r="A11" s="23" t="s">
        <v>83</v>
      </c>
      <c r="B11" s="25">
        <v>154950</v>
      </c>
    </row>
    <row r="12" spans="1:2" ht="15.75" x14ac:dyDescent="0.25">
      <c r="A12" s="27" t="s">
        <v>13</v>
      </c>
      <c r="B12" s="25">
        <v>535000</v>
      </c>
    </row>
    <row r="13" spans="1:2" ht="15.75" x14ac:dyDescent="0.25">
      <c r="A13" s="27" t="s">
        <v>14</v>
      </c>
      <c r="B13" s="25">
        <v>55000</v>
      </c>
    </row>
    <row r="14" spans="1:2" ht="15.75" x14ac:dyDescent="0.25">
      <c r="A14" s="27" t="s">
        <v>16</v>
      </c>
      <c r="B14" s="25">
        <v>4500</v>
      </c>
    </row>
    <row r="15" spans="1:2" ht="15.75" x14ac:dyDescent="0.25">
      <c r="A15" s="27" t="s">
        <v>17</v>
      </c>
      <c r="B15" s="25">
        <v>0</v>
      </c>
    </row>
    <row r="16" spans="1:2" ht="15.75" x14ac:dyDescent="0.25">
      <c r="A16" s="27" t="s">
        <v>18</v>
      </c>
      <c r="B16" s="25">
        <v>19400</v>
      </c>
    </row>
    <row r="17" spans="1:2" ht="15.75" x14ac:dyDescent="0.25">
      <c r="A17" s="14" t="s">
        <v>19</v>
      </c>
      <c r="B17" s="29">
        <f>SUM(B11:B16)</f>
        <v>768850</v>
      </c>
    </row>
    <row r="18" spans="1:2" ht="15.75" x14ac:dyDescent="0.25">
      <c r="A18" s="14" t="s">
        <v>20</v>
      </c>
      <c r="B18" s="29">
        <v>0</v>
      </c>
    </row>
    <row r="19" spans="1:2" ht="15.75" x14ac:dyDescent="0.25">
      <c r="A19" s="23" t="s">
        <v>21</v>
      </c>
      <c r="B19" s="25">
        <v>55500</v>
      </c>
    </row>
    <row r="20" spans="1:2" ht="15.75" x14ac:dyDescent="0.25">
      <c r="A20" s="27" t="s">
        <v>22</v>
      </c>
      <c r="B20" s="25">
        <v>42000</v>
      </c>
    </row>
    <row r="21" spans="1:2" ht="15.75" x14ac:dyDescent="0.25">
      <c r="A21" s="27" t="s">
        <v>24</v>
      </c>
      <c r="B21" s="25">
        <v>25200</v>
      </c>
    </row>
    <row r="22" spans="1:2" ht="15.75" x14ac:dyDescent="0.25">
      <c r="A22" s="27" t="s">
        <v>26</v>
      </c>
      <c r="B22" s="25">
        <v>10000</v>
      </c>
    </row>
    <row r="23" spans="1:2" ht="15.75" x14ac:dyDescent="0.25">
      <c r="A23" s="27" t="s">
        <v>27</v>
      </c>
      <c r="B23" s="25">
        <v>0</v>
      </c>
    </row>
    <row r="24" spans="1:2" ht="15.75" x14ac:dyDescent="0.25">
      <c r="A24" s="27" t="s">
        <v>29</v>
      </c>
      <c r="B24" s="25">
        <v>3500</v>
      </c>
    </row>
    <row r="25" spans="1:2" ht="15.75" x14ac:dyDescent="0.25">
      <c r="A25" s="14" t="s">
        <v>30</v>
      </c>
      <c r="B25" s="29">
        <f t="shared" ref="B25" si="2">SUM(B19:B24)</f>
        <v>136200</v>
      </c>
    </row>
    <row r="26" spans="1:2" ht="15.75" x14ac:dyDescent="0.25">
      <c r="A26" s="32" t="s">
        <v>31</v>
      </c>
      <c r="B26" s="33">
        <f>SUM(B17:B24)</f>
        <v>905050</v>
      </c>
    </row>
    <row r="27" spans="1:2" ht="15.75" x14ac:dyDescent="0.25">
      <c r="A27" s="37"/>
      <c r="B27" s="38"/>
    </row>
    <row r="28" spans="1:2" ht="31.5" x14ac:dyDescent="0.25">
      <c r="A28" s="9" t="s">
        <v>32</v>
      </c>
      <c r="B28" s="92" t="s">
        <v>109</v>
      </c>
    </row>
    <row r="29" spans="1:2" ht="15.75" x14ac:dyDescent="0.25">
      <c r="A29" s="27" t="s">
        <v>21</v>
      </c>
      <c r="B29" s="39">
        <v>3000</v>
      </c>
    </row>
    <row r="30" spans="1:2" ht="15.75" x14ac:dyDescent="0.25">
      <c r="A30" s="27" t="s">
        <v>22</v>
      </c>
      <c r="B30" s="39">
        <v>14000</v>
      </c>
    </row>
    <row r="31" spans="1:2" ht="15.75" x14ac:dyDescent="0.25">
      <c r="A31" s="27" t="s">
        <v>24</v>
      </c>
      <c r="B31" s="39">
        <v>2100</v>
      </c>
    </row>
    <row r="32" spans="1:2" ht="15.75" x14ac:dyDescent="0.25">
      <c r="A32" s="14" t="s">
        <v>33</v>
      </c>
      <c r="B32" s="29">
        <f>SUM(B29:B31)</f>
        <v>19100</v>
      </c>
    </row>
    <row r="33" spans="1:2" ht="15.75" x14ac:dyDescent="0.25">
      <c r="A33" s="27" t="s">
        <v>34</v>
      </c>
      <c r="B33" s="25">
        <v>400</v>
      </c>
    </row>
    <row r="34" spans="1:2" ht="15.75" x14ac:dyDescent="0.25">
      <c r="A34" s="27" t="s">
        <v>35</v>
      </c>
      <c r="B34" s="25">
        <v>8050</v>
      </c>
    </row>
    <row r="35" spans="1:2" ht="15.75" x14ac:dyDescent="0.25">
      <c r="A35" s="27" t="s">
        <v>37</v>
      </c>
      <c r="B35" s="25">
        <v>10500</v>
      </c>
    </row>
    <row r="36" spans="1:2" ht="15.75" x14ac:dyDescent="0.25">
      <c r="A36" s="27" t="s">
        <v>38</v>
      </c>
      <c r="B36" s="25">
        <v>20000</v>
      </c>
    </row>
    <row r="37" spans="1:2" ht="15.75" x14ac:dyDescent="0.25">
      <c r="A37" s="14" t="s">
        <v>39</v>
      </c>
      <c r="B37" s="29">
        <f t="shared" ref="B37" si="3">SUM(B33:B36)</f>
        <v>38950</v>
      </c>
    </row>
    <row r="38" spans="1:2" ht="15.75" x14ac:dyDescent="0.25">
      <c r="A38" s="14" t="s">
        <v>85</v>
      </c>
      <c r="B38" s="29">
        <v>35000</v>
      </c>
    </row>
    <row r="39" spans="1:2" ht="15.75" x14ac:dyDescent="0.25">
      <c r="A39" s="27" t="s">
        <v>40</v>
      </c>
      <c r="B39" s="24">
        <v>4500</v>
      </c>
    </row>
    <row r="40" spans="1:2" ht="15.75" x14ac:dyDescent="0.25">
      <c r="A40" s="27" t="s">
        <v>41</v>
      </c>
      <c r="B40" s="24">
        <v>0</v>
      </c>
    </row>
    <row r="41" spans="1:2" ht="15.75" x14ac:dyDescent="0.25">
      <c r="A41" s="27" t="s">
        <v>42</v>
      </c>
      <c r="B41" s="24">
        <v>3625</v>
      </c>
    </row>
    <row r="42" spans="1:2" ht="15.75" x14ac:dyDescent="0.25">
      <c r="A42" s="12" t="s">
        <v>44</v>
      </c>
      <c r="B42" s="24">
        <v>95000</v>
      </c>
    </row>
    <row r="43" spans="1:2" ht="15.75" x14ac:dyDescent="0.25">
      <c r="A43" s="12" t="s">
        <v>45</v>
      </c>
      <c r="B43" s="24">
        <v>12500</v>
      </c>
    </row>
    <row r="44" spans="1:2" ht="15.75" x14ac:dyDescent="0.25">
      <c r="A44" s="12" t="s">
        <v>47</v>
      </c>
      <c r="B44" s="24">
        <v>350</v>
      </c>
    </row>
    <row r="45" spans="1:2" ht="15.75" x14ac:dyDescent="0.25">
      <c r="A45" s="27" t="s">
        <v>48</v>
      </c>
      <c r="B45" s="24">
        <v>2000</v>
      </c>
    </row>
    <row r="46" spans="1:2" ht="15.75" x14ac:dyDescent="0.25">
      <c r="A46" s="27" t="s">
        <v>49</v>
      </c>
      <c r="B46" s="24">
        <v>9615.25</v>
      </c>
    </row>
    <row r="47" spans="1:2" ht="15.75" x14ac:dyDescent="0.25">
      <c r="A47" s="27" t="s">
        <v>51</v>
      </c>
      <c r="B47" s="24">
        <v>3600</v>
      </c>
    </row>
    <row r="48" spans="1:2" ht="15.75" x14ac:dyDescent="0.25">
      <c r="A48" s="27" t="s">
        <v>52</v>
      </c>
      <c r="B48" s="24">
        <v>1000</v>
      </c>
    </row>
    <row r="49" spans="1:2" ht="15.75" x14ac:dyDescent="0.25">
      <c r="A49" s="27" t="s">
        <v>53</v>
      </c>
      <c r="B49" s="24">
        <v>256412.09</v>
      </c>
    </row>
    <row r="50" spans="1:2" ht="15.75" x14ac:dyDescent="0.25">
      <c r="A50" s="27" t="s">
        <v>54</v>
      </c>
      <c r="B50" s="24">
        <v>15384.725399999999</v>
      </c>
    </row>
    <row r="51" spans="1:2" ht="15.75" x14ac:dyDescent="0.25">
      <c r="A51" s="27" t="s">
        <v>55</v>
      </c>
      <c r="B51" s="24">
        <v>3000</v>
      </c>
    </row>
    <row r="52" spans="1:2" ht="15.75" x14ac:dyDescent="0.25">
      <c r="A52" s="12" t="s">
        <v>56</v>
      </c>
      <c r="B52" s="24">
        <v>15340</v>
      </c>
    </row>
    <row r="53" spans="1:2" ht="15.75" x14ac:dyDescent="0.25">
      <c r="A53" s="12" t="s">
        <v>58</v>
      </c>
      <c r="B53" s="24">
        <v>3000</v>
      </c>
    </row>
    <row r="54" spans="1:2" ht="15.75" x14ac:dyDescent="0.25">
      <c r="A54" s="27" t="s">
        <v>60</v>
      </c>
      <c r="B54" s="24">
        <v>14000</v>
      </c>
    </row>
    <row r="55" spans="1:2" ht="15.75" x14ac:dyDescent="0.25">
      <c r="A55" s="27" t="s">
        <v>62</v>
      </c>
      <c r="B55" s="24">
        <v>2500</v>
      </c>
    </row>
    <row r="56" spans="1:2" ht="15.75" x14ac:dyDescent="0.25">
      <c r="A56" s="27" t="s">
        <v>63</v>
      </c>
      <c r="B56" s="24">
        <v>3450.45</v>
      </c>
    </row>
    <row r="57" spans="1:2" ht="15.75" x14ac:dyDescent="0.25">
      <c r="A57" s="27" t="s">
        <v>65</v>
      </c>
      <c r="B57" s="24">
        <v>650</v>
      </c>
    </row>
    <row r="58" spans="1:2" ht="15.75" x14ac:dyDescent="0.25">
      <c r="A58" s="27" t="s">
        <v>66</v>
      </c>
      <c r="B58" s="24">
        <v>5500</v>
      </c>
    </row>
    <row r="59" spans="1:2" ht="15.75" x14ac:dyDescent="0.25">
      <c r="A59" s="27" t="s">
        <v>67</v>
      </c>
      <c r="B59" s="24">
        <v>33595</v>
      </c>
    </row>
    <row r="60" spans="1:2" ht="15.75" x14ac:dyDescent="0.25">
      <c r="A60" s="27" t="s">
        <v>69</v>
      </c>
      <c r="B60" s="24">
        <v>7500</v>
      </c>
    </row>
    <row r="61" spans="1:2" ht="15.75" x14ac:dyDescent="0.25">
      <c r="A61" s="27" t="s">
        <v>70</v>
      </c>
      <c r="B61" s="24">
        <v>2575</v>
      </c>
    </row>
    <row r="62" spans="1:2" ht="15.75" x14ac:dyDescent="0.25">
      <c r="A62" s="27" t="s">
        <v>71</v>
      </c>
      <c r="B62" s="24">
        <v>236652.84239999999</v>
      </c>
    </row>
    <row r="63" spans="1:2" ht="15.75" x14ac:dyDescent="0.25">
      <c r="A63" s="27" t="s">
        <v>72</v>
      </c>
      <c r="B63" s="24">
        <v>19400</v>
      </c>
    </row>
    <row r="64" spans="1:2" ht="15.75" x14ac:dyDescent="0.25">
      <c r="A64" s="27" t="s">
        <v>73</v>
      </c>
      <c r="B64" s="24">
        <v>8000</v>
      </c>
    </row>
    <row r="65" spans="1:2" ht="15.75" x14ac:dyDescent="0.25">
      <c r="A65" s="14" t="s">
        <v>75</v>
      </c>
      <c r="B65" s="40">
        <f t="shared" ref="B65" si="4">SUM(B39:B64)</f>
        <v>759150.3578</v>
      </c>
    </row>
    <row r="66" spans="1:2" ht="15.75" x14ac:dyDescent="0.25">
      <c r="A66" s="41" t="s">
        <v>76</v>
      </c>
      <c r="B66" s="42">
        <f>B32+B37+B65</f>
        <v>817200.3578</v>
      </c>
    </row>
    <row r="67" spans="1:2" ht="15.75" x14ac:dyDescent="0.25">
      <c r="A67" s="44"/>
      <c r="B67" s="45"/>
    </row>
    <row r="68" spans="1:2" ht="15.75" x14ac:dyDescent="0.25">
      <c r="A68" s="46" t="s">
        <v>77</v>
      </c>
      <c r="B68" s="47">
        <f>B26-B66</f>
        <v>87849.642200000002</v>
      </c>
    </row>
    <row r="69" spans="1:2" ht="15.75" x14ac:dyDescent="0.25">
      <c r="A69" s="49"/>
      <c r="B69" s="6"/>
    </row>
    <row r="70" spans="1:2" ht="15.75" x14ac:dyDescent="0.25">
      <c r="A70" s="46" t="s">
        <v>78</v>
      </c>
      <c r="B70" s="47">
        <f>'Budget vs Actual w History'!I74</f>
        <v>906.17181562504265</v>
      </c>
    </row>
    <row r="72" spans="1:2" s="108" customFormat="1" ht="20.100000000000001" customHeight="1" x14ac:dyDescent="0.25">
      <c r="A72" s="109" t="s">
        <v>87</v>
      </c>
      <c r="B72" s="110">
        <v>0.90370730427499568</v>
      </c>
    </row>
    <row r="73" spans="1:2" s="108" customFormat="1" ht="20.100000000000001" customHeight="1" x14ac:dyDescent="0.25">
      <c r="A73" s="109" t="s">
        <v>88</v>
      </c>
      <c r="B73" s="110">
        <v>0.31376893995774996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3"/>
  <sheetViews>
    <sheetView zoomScaleNormal="100" workbookViewId="0">
      <selection activeCell="G7" sqref="G7:G8"/>
    </sheetView>
  </sheetViews>
  <sheetFormatPr defaultColWidth="9.140625" defaultRowHeight="15" outlineLevelCol="1" x14ac:dyDescent="0.2"/>
  <cols>
    <col min="1" max="1" width="34.42578125" style="5" customWidth="1"/>
    <col min="2" max="2" width="20.7109375" style="55" customWidth="1"/>
    <col min="3" max="7" width="20.7109375" style="53" customWidth="1"/>
    <col min="8" max="8" width="1.7109375" style="53" customWidth="1"/>
    <col min="9" max="11" width="20.7109375" style="53" customWidth="1"/>
    <col min="12" max="12" width="81.7109375" style="53" hidden="1" customWidth="1" outlineLevel="1"/>
    <col min="13" max="13" width="9.140625" style="5" collapsed="1"/>
    <col min="14" max="14" width="12.140625" style="5" bestFit="1" customWidth="1"/>
    <col min="15" max="15" width="9.140625" style="5"/>
    <col min="16" max="17" width="9.7109375" style="53" bestFit="1" customWidth="1"/>
    <col min="18" max="19" width="11.5703125" style="53" bestFit="1" customWidth="1"/>
    <col min="20" max="16384" width="9.140625" style="5"/>
  </cols>
  <sheetData>
    <row r="1" spans="1:20" ht="34.9" customHeight="1" thickBot="1" x14ac:dyDescent="0.25">
      <c r="A1" s="136" t="s">
        <v>107</v>
      </c>
      <c r="B1" s="137"/>
      <c r="C1" s="137"/>
      <c r="D1" s="137"/>
      <c r="E1" s="137"/>
      <c r="F1" s="137"/>
      <c r="G1" s="137"/>
      <c r="H1" s="137"/>
      <c r="I1" s="137"/>
      <c r="J1" s="137"/>
      <c r="K1" s="138"/>
      <c r="L1" s="2" t="s">
        <v>0</v>
      </c>
      <c r="M1" s="3"/>
      <c r="N1" s="3"/>
      <c r="O1" s="3"/>
      <c r="P1" s="4"/>
      <c r="Q1" s="4"/>
      <c r="R1" s="4"/>
      <c r="S1" s="4"/>
      <c r="T1" s="3"/>
    </row>
    <row r="2" spans="1:20" s="8" customFormat="1" ht="15.75" x14ac:dyDescent="0.25">
      <c r="A2" s="57"/>
      <c r="B2" s="58"/>
      <c r="C2" s="58"/>
      <c r="D2" s="58"/>
      <c r="E2" s="58"/>
      <c r="F2" s="58"/>
      <c r="G2" s="58"/>
      <c r="H2" s="58"/>
      <c r="I2" s="1"/>
      <c r="J2" s="1"/>
      <c r="K2" s="1"/>
      <c r="L2" s="6"/>
      <c r="M2" s="7"/>
      <c r="N2" s="7"/>
      <c r="O2" s="7"/>
      <c r="P2" s="6"/>
      <c r="Q2" s="6"/>
      <c r="R2" s="6"/>
      <c r="S2" s="6"/>
      <c r="T2" s="7"/>
    </row>
    <row r="3" spans="1:20" s="8" customFormat="1" ht="31.5" x14ac:dyDescent="0.2">
      <c r="A3" s="9" t="s">
        <v>1</v>
      </c>
      <c r="B3" s="10" t="s">
        <v>2</v>
      </c>
      <c r="C3" s="11" t="s">
        <v>3</v>
      </c>
      <c r="D3" s="11" t="s">
        <v>4</v>
      </c>
      <c r="E3" s="11" t="s">
        <v>82</v>
      </c>
      <c r="F3" s="11" t="s">
        <v>108</v>
      </c>
      <c r="G3" s="11" t="s">
        <v>134</v>
      </c>
      <c r="H3" s="139"/>
      <c r="I3" s="11" t="s">
        <v>135</v>
      </c>
      <c r="J3" s="11" t="s">
        <v>136</v>
      </c>
      <c r="K3" s="11" t="s">
        <v>137</v>
      </c>
      <c r="L3" s="6"/>
      <c r="M3" s="7"/>
      <c r="N3" s="7"/>
      <c r="O3" s="7"/>
      <c r="P3" s="6"/>
      <c r="Q3" s="6"/>
      <c r="R3" s="6"/>
      <c r="S3" s="6"/>
      <c r="T3" s="7"/>
    </row>
    <row r="4" spans="1:20" s="8" customFormat="1" ht="19.899999999999999" customHeight="1" x14ac:dyDescent="0.2">
      <c r="A4" s="12" t="s">
        <v>5</v>
      </c>
      <c r="B4" s="13">
        <v>787</v>
      </c>
      <c r="C4" s="13">
        <v>866</v>
      </c>
      <c r="D4" s="13">
        <v>856</v>
      </c>
      <c r="E4" s="13">
        <v>772</v>
      </c>
      <c r="F4" s="13">
        <v>766</v>
      </c>
      <c r="G4" s="13">
        <v>951</v>
      </c>
      <c r="H4" s="140"/>
      <c r="I4" s="13">
        <v>825</v>
      </c>
      <c r="J4" s="93">
        <f>IFERROR((I4-G4)/G4,0)</f>
        <v>-0.13249211356466878</v>
      </c>
      <c r="K4" s="93">
        <f>IFERROR((G4/B4)^(1/6)-1,0)</f>
        <v>3.2050536862093137E-2</v>
      </c>
      <c r="L4" s="6"/>
      <c r="M4" s="7"/>
      <c r="N4" s="106"/>
      <c r="O4" s="7"/>
      <c r="P4" s="6"/>
      <c r="Q4" s="6"/>
      <c r="R4" s="6"/>
      <c r="S4" s="6"/>
      <c r="T4" s="7"/>
    </row>
    <row r="5" spans="1:20" s="8" customFormat="1" ht="19.899999999999999" customHeight="1" x14ac:dyDescent="0.2">
      <c r="A5" s="12" t="s">
        <v>6</v>
      </c>
      <c r="B5" s="13">
        <v>271</v>
      </c>
      <c r="C5" s="13">
        <v>222</v>
      </c>
      <c r="D5" s="13">
        <v>222</v>
      </c>
      <c r="E5" s="13">
        <v>296</v>
      </c>
      <c r="F5" s="13">
        <v>324</v>
      </c>
      <c r="G5" s="13">
        <v>398</v>
      </c>
      <c r="H5" s="140"/>
      <c r="I5" s="13">
        <v>250</v>
      </c>
      <c r="J5" s="93">
        <f t="shared" ref="J5:J10" si="0">IFERROR((I5-G5)/G5,0)</f>
        <v>-0.37185929648241206</v>
      </c>
      <c r="K5" s="93">
        <f t="shared" ref="K5:K10" si="1">IFERROR((G5/B5)^(1/6)-1,0)</f>
        <v>6.6151601298816143E-2</v>
      </c>
      <c r="L5" s="6"/>
      <c r="M5" s="7"/>
      <c r="N5" s="7"/>
      <c r="O5" s="106"/>
      <c r="P5" s="6"/>
      <c r="Q5" s="6"/>
      <c r="R5" s="6"/>
      <c r="S5" s="6"/>
      <c r="T5" s="7"/>
    </row>
    <row r="6" spans="1:20" s="8" customFormat="1" ht="19.899999999999999" customHeight="1" x14ac:dyDescent="0.25">
      <c r="A6" s="14" t="s">
        <v>7</v>
      </c>
      <c r="B6" s="15">
        <f>SUM(B4:B5)</f>
        <v>1058</v>
      </c>
      <c r="C6" s="15">
        <f t="shared" ref="C6:E6" si="2">SUM(C4:C5)</f>
        <v>1088</v>
      </c>
      <c r="D6" s="15">
        <f t="shared" si="2"/>
        <v>1078</v>
      </c>
      <c r="E6" s="15">
        <f t="shared" si="2"/>
        <v>1068</v>
      </c>
      <c r="F6" s="15">
        <f>SUM(F4:F5)</f>
        <v>1090</v>
      </c>
      <c r="G6" s="15">
        <f>SUM(G4:G5)</f>
        <v>1349</v>
      </c>
      <c r="H6" s="140"/>
      <c r="I6" s="15">
        <f>SUM(I4:I5)</f>
        <v>1075</v>
      </c>
      <c r="J6" s="94">
        <f t="shared" si="0"/>
        <v>-0.20311341734618235</v>
      </c>
      <c r="K6" s="94">
        <f t="shared" si="1"/>
        <v>4.1328401578809348E-2</v>
      </c>
      <c r="L6" s="6"/>
      <c r="M6" s="7"/>
      <c r="N6" s="7"/>
      <c r="O6" s="7"/>
      <c r="P6" s="6"/>
      <c r="Q6" s="6"/>
      <c r="R6" s="6"/>
      <c r="S6" s="6"/>
      <c r="T6" s="7"/>
    </row>
    <row r="7" spans="1:20" s="8" customFormat="1" ht="19.899999999999999" customHeight="1" x14ac:dyDescent="0.2">
      <c r="A7" s="12" t="s">
        <v>8</v>
      </c>
      <c r="B7" s="13">
        <v>726</v>
      </c>
      <c r="C7" s="13">
        <v>934</v>
      </c>
      <c r="D7" s="13">
        <v>879</v>
      </c>
      <c r="E7" s="13">
        <v>703</v>
      </c>
      <c r="F7" s="13">
        <v>697</v>
      </c>
      <c r="G7" s="13">
        <v>860</v>
      </c>
      <c r="H7" s="140"/>
      <c r="I7" s="13">
        <v>825</v>
      </c>
      <c r="J7" s="93">
        <f t="shared" si="0"/>
        <v>-4.0697674418604654E-2</v>
      </c>
      <c r="K7" s="93">
        <f t="shared" si="1"/>
        <v>2.8632649700041535E-2</v>
      </c>
      <c r="L7" s="6"/>
      <c r="M7" s="7"/>
      <c r="N7" s="7"/>
      <c r="O7" s="7"/>
      <c r="P7" s="6"/>
      <c r="Q7" s="6"/>
      <c r="R7" s="6"/>
      <c r="S7" s="6"/>
      <c r="T7" s="7"/>
    </row>
    <row r="8" spans="1:20" s="8" customFormat="1" ht="19.899999999999999" customHeight="1" x14ac:dyDescent="0.2">
      <c r="A8" s="12" t="s">
        <v>9</v>
      </c>
      <c r="B8" s="13">
        <v>202</v>
      </c>
      <c r="C8" s="13">
        <v>187</v>
      </c>
      <c r="D8" s="13">
        <v>214</v>
      </c>
      <c r="E8" s="13">
        <v>257</v>
      </c>
      <c r="F8" s="13">
        <v>282</v>
      </c>
      <c r="G8" s="13">
        <v>329</v>
      </c>
      <c r="H8" s="140"/>
      <c r="I8" s="13">
        <v>250</v>
      </c>
      <c r="J8" s="93">
        <f t="shared" si="0"/>
        <v>-0.24012158054711247</v>
      </c>
      <c r="K8" s="93">
        <f t="shared" si="1"/>
        <v>8.4694458459015465E-2</v>
      </c>
      <c r="L8" s="6"/>
      <c r="M8" s="7"/>
      <c r="N8" s="7"/>
      <c r="O8" s="7"/>
      <c r="P8" s="6"/>
      <c r="Q8" s="6"/>
      <c r="R8" s="6"/>
      <c r="S8" s="6"/>
      <c r="T8" s="7"/>
    </row>
    <row r="9" spans="1:20" s="8" customFormat="1" ht="19.899999999999999" customHeight="1" x14ac:dyDescent="0.25">
      <c r="A9" s="14" t="s">
        <v>10</v>
      </c>
      <c r="B9" s="15">
        <f>SUM(B7:B8)</f>
        <v>928</v>
      </c>
      <c r="C9" s="15">
        <f t="shared" ref="C9:F9" si="3">SUM(C7:C8)</f>
        <v>1121</v>
      </c>
      <c r="D9" s="15">
        <f t="shared" si="3"/>
        <v>1093</v>
      </c>
      <c r="E9" s="15">
        <f t="shared" si="3"/>
        <v>960</v>
      </c>
      <c r="F9" s="15">
        <f t="shared" si="3"/>
        <v>979</v>
      </c>
      <c r="G9" s="15">
        <f t="shared" ref="G9" si="4">SUM(G7:G8)</f>
        <v>1189</v>
      </c>
      <c r="H9" s="140"/>
      <c r="I9" s="15">
        <f t="shared" ref="I9" si="5">SUM(I7:I8)</f>
        <v>1075</v>
      </c>
      <c r="J9" s="94">
        <f t="shared" si="0"/>
        <v>-9.5878889823380997E-2</v>
      </c>
      <c r="K9" s="94">
        <f t="shared" si="1"/>
        <v>4.217098954161691E-2</v>
      </c>
      <c r="L9" s="6"/>
      <c r="M9" s="7"/>
      <c r="N9" s="7"/>
      <c r="O9" s="7"/>
      <c r="P9" s="6"/>
      <c r="Q9" s="6"/>
      <c r="R9" s="6"/>
      <c r="S9" s="6"/>
      <c r="T9" s="7"/>
    </row>
    <row r="10" spans="1:20" s="8" customFormat="1" ht="25.15" customHeight="1" x14ac:dyDescent="0.2">
      <c r="A10" s="16" t="s">
        <v>11</v>
      </c>
      <c r="B10" s="17">
        <f>B6-B9</f>
        <v>130</v>
      </c>
      <c r="C10" s="17">
        <f t="shared" ref="C10:F10" si="6">C6-C9</f>
        <v>-33</v>
      </c>
      <c r="D10" s="17">
        <f t="shared" si="6"/>
        <v>-15</v>
      </c>
      <c r="E10" s="17">
        <f t="shared" si="6"/>
        <v>108</v>
      </c>
      <c r="F10" s="17">
        <f t="shared" si="6"/>
        <v>111</v>
      </c>
      <c r="G10" s="17">
        <f t="shared" ref="G10" si="7">G6-G9</f>
        <v>160</v>
      </c>
      <c r="H10" s="141"/>
      <c r="I10" s="17">
        <f t="shared" ref="I10" si="8">I6-I9</f>
        <v>0</v>
      </c>
      <c r="J10" s="95">
        <f t="shared" si="0"/>
        <v>-1</v>
      </c>
      <c r="K10" s="95">
        <f t="shared" si="1"/>
        <v>3.5212335549692275E-2</v>
      </c>
      <c r="L10" s="6"/>
      <c r="M10" s="7"/>
      <c r="N10" s="7"/>
      <c r="O10" s="7"/>
      <c r="P10" s="6"/>
      <c r="Q10" s="6"/>
      <c r="R10" s="6"/>
      <c r="S10" s="6"/>
      <c r="T10" s="7"/>
    </row>
    <row r="11" spans="1:20" s="8" customFormat="1" ht="15.75" x14ac:dyDescent="0.25">
      <c r="A11" s="18"/>
      <c r="B11" s="19"/>
      <c r="C11" s="20"/>
      <c r="D11" s="19"/>
      <c r="E11" s="21"/>
      <c r="F11" s="1"/>
      <c r="G11" s="1"/>
      <c r="H11" s="22"/>
      <c r="I11" s="1"/>
      <c r="J11" s="1"/>
      <c r="K11" s="1"/>
      <c r="L11" s="6"/>
      <c r="M11" s="7"/>
      <c r="N11" s="7"/>
      <c r="O11" s="7"/>
      <c r="P11" s="6"/>
      <c r="Q11" s="6"/>
      <c r="R11" s="6"/>
      <c r="S11" s="6"/>
      <c r="T11" s="7"/>
    </row>
    <row r="12" spans="1:20" s="8" customFormat="1" ht="34.9" customHeight="1" x14ac:dyDescent="0.2">
      <c r="A12" s="9" t="s">
        <v>12</v>
      </c>
      <c r="B12" s="10" t="str">
        <f>B3</f>
        <v>2015 Actual</v>
      </c>
      <c r="C12" s="10" t="str">
        <f t="shared" ref="C12:J12" si="9">C3</f>
        <v>2016 Actual</v>
      </c>
      <c r="D12" s="10" t="str">
        <f t="shared" si="9"/>
        <v>2017 Actual</v>
      </c>
      <c r="E12" s="10" t="str">
        <f t="shared" si="9"/>
        <v>2018 Actual</v>
      </c>
      <c r="F12" s="10" t="str">
        <f t="shared" si="9"/>
        <v>2019 Actual</v>
      </c>
      <c r="G12" s="10" t="str">
        <f t="shared" si="9"/>
        <v>2020 Actual</v>
      </c>
      <c r="H12" s="142"/>
      <c r="I12" s="10" t="str">
        <f t="shared" si="9"/>
        <v>2021 Budget</v>
      </c>
      <c r="J12" s="10" t="str">
        <f t="shared" si="9"/>
        <v>2021 vs 2020 Growth %</v>
      </c>
      <c r="K12" s="10" t="str">
        <f t="shared" ref="K12" si="10">K3</f>
        <v>2015 - 2020 CAGR</v>
      </c>
      <c r="L12" s="6"/>
      <c r="M12" s="7"/>
      <c r="N12" s="7"/>
      <c r="O12" s="7"/>
      <c r="P12" s="6"/>
      <c r="Q12" s="6"/>
      <c r="R12" s="6"/>
      <c r="S12" s="6"/>
      <c r="T12" s="7"/>
    </row>
    <row r="13" spans="1:20" s="8" customFormat="1" ht="19.899999999999999" customHeight="1" x14ac:dyDescent="0.2">
      <c r="A13" s="23" t="s">
        <v>83</v>
      </c>
      <c r="B13" s="24">
        <v>104864</v>
      </c>
      <c r="C13" s="24">
        <v>144609</v>
      </c>
      <c r="D13" s="25">
        <v>160908</v>
      </c>
      <c r="E13" s="26">
        <v>136545</v>
      </c>
      <c r="F13" s="25">
        <v>154918.04999999999</v>
      </c>
      <c r="G13" s="25">
        <f>25660+150165.5</f>
        <v>175825.5</v>
      </c>
      <c r="H13" s="143"/>
      <c r="I13" s="25">
        <f>I9*150</f>
        <v>161250</v>
      </c>
      <c r="J13" s="96">
        <f t="shared" ref="J13:J29" si="11">IFERROR((I13-G13)/G13,0)</f>
        <v>-8.2897531927962662E-2</v>
      </c>
      <c r="K13" s="96">
        <f t="shared" ref="K13:K29" si="12">IFERROR((G13/B13)^(1/6)-1,0)</f>
        <v>8.9956687160699156E-2</v>
      </c>
      <c r="L13" s="6"/>
      <c r="M13" s="7"/>
      <c r="N13" s="7"/>
      <c r="O13" s="7"/>
      <c r="P13" s="6"/>
      <c r="Q13" s="6"/>
      <c r="R13" s="6"/>
      <c r="S13" s="6"/>
      <c r="T13" s="7"/>
    </row>
    <row r="14" spans="1:20" s="8" customFormat="1" ht="19.899999999999999" customHeight="1" x14ac:dyDescent="0.2">
      <c r="A14" s="27" t="s">
        <v>13</v>
      </c>
      <c r="B14" s="25">
        <f>400826-B13</f>
        <v>295962</v>
      </c>
      <c r="C14" s="25">
        <f>471886-C13-C21</f>
        <v>293165</v>
      </c>
      <c r="D14" s="25">
        <f>524448-D16-D17-D27</f>
        <v>422113</v>
      </c>
      <c r="E14" s="26">
        <f>(519494+234)-E16-E17-E27</f>
        <v>413956.9</v>
      </c>
      <c r="F14" s="25">
        <v>494091.55000000005</v>
      </c>
      <c r="G14" s="25">
        <v>371390.84</v>
      </c>
      <c r="H14" s="143"/>
      <c r="I14" s="25">
        <v>435000</v>
      </c>
      <c r="J14" s="96">
        <f t="shared" si="11"/>
        <v>0.17127282945373659</v>
      </c>
      <c r="K14" s="96">
        <f t="shared" si="12"/>
        <v>3.8562265388509376E-2</v>
      </c>
      <c r="L14" s="6"/>
      <c r="M14" s="7"/>
      <c r="O14" s="7"/>
      <c r="P14" s="6"/>
      <c r="Q14" s="6"/>
      <c r="R14" s="6"/>
      <c r="S14" s="6"/>
      <c r="T14" s="7"/>
    </row>
    <row r="15" spans="1:20" ht="19.899999999999999" customHeight="1" x14ac:dyDescent="0.2">
      <c r="A15" s="27" t="s">
        <v>14</v>
      </c>
      <c r="B15" s="24">
        <v>5189</v>
      </c>
      <c r="C15" s="24">
        <v>20750</v>
      </c>
      <c r="D15" s="25">
        <v>11000</v>
      </c>
      <c r="E15" s="26">
        <v>41900</v>
      </c>
      <c r="F15" s="25">
        <v>61444.6</v>
      </c>
      <c r="G15" s="25">
        <f>93111.68</f>
        <v>93111.679999999993</v>
      </c>
      <c r="H15" s="143"/>
      <c r="I15" s="25">
        <v>65000</v>
      </c>
      <c r="J15" s="96">
        <f t="shared" si="11"/>
        <v>-0.30191357303401672</v>
      </c>
      <c r="K15" s="96">
        <f t="shared" si="12"/>
        <v>0.6180306669751483</v>
      </c>
      <c r="L15" s="4" t="s">
        <v>15</v>
      </c>
      <c r="M15" s="3"/>
      <c r="N15" s="7"/>
      <c r="O15" s="3"/>
      <c r="P15" s="4"/>
      <c r="Q15" s="4"/>
      <c r="R15" s="4"/>
      <c r="S15" s="4"/>
      <c r="T15" s="3"/>
    </row>
    <row r="16" spans="1:20" ht="19.899999999999999" customHeight="1" x14ac:dyDescent="0.2">
      <c r="A16" s="27" t="s">
        <v>16</v>
      </c>
      <c r="B16" s="24">
        <v>0</v>
      </c>
      <c r="C16" s="24">
        <v>0</v>
      </c>
      <c r="D16" s="25">
        <v>0</v>
      </c>
      <c r="E16" s="26">
        <v>4489</v>
      </c>
      <c r="F16" s="25">
        <v>4632.1000000000004</v>
      </c>
      <c r="G16" s="25">
        <v>2340</v>
      </c>
      <c r="H16" s="143"/>
      <c r="I16" s="25">
        <v>4500</v>
      </c>
      <c r="J16" s="96">
        <f t="shared" si="11"/>
        <v>0.92307692307692313</v>
      </c>
      <c r="K16" s="96">
        <f t="shared" si="12"/>
        <v>0</v>
      </c>
      <c r="L16" s="4"/>
      <c r="M16" s="3"/>
      <c r="N16" s="121"/>
      <c r="O16" s="3"/>
      <c r="P16" s="4"/>
      <c r="Q16" s="4"/>
      <c r="R16" s="4"/>
      <c r="S16" s="4"/>
      <c r="T16" s="3"/>
    </row>
    <row r="17" spans="1:20" ht="19.899999999999999" customHeight="1" x14ac:dyDescent="0.2">
      <c r="A17" s="27" t="s">
        <v>141</v>
      </c>
      <c r="B17" s="24">
        <v>0</v>
      </c>
      <c r="C17" s="24">
        <v>0</v>
      </c>
      <c r="D17" s="25">
        <v>0</v>
      </c>
      <c r="E17" s="26">
        <v>44.099999999999994</v>
      </c>
      <c r="F17" s="25">
        <v>0</v>
      </c>
      <c r="G17" s="25">
        <v>44950</v>
      </c>
      <c r="H17" s="143"/>
      <c r="I17" s="25">
        <v>0</v>
      </c>
      <c r="J17" s="96">
        <f t="shared" si="11"/>
        <v>-1</v>
      </c>
      <c r="K17" s="96">
        <f t="shared" si="12"/>
        <v>0</v>
      </c>
      <c r="L17" s="4"/>
      <c r="M17" s="3"/>
      <c r="N17" s="3"/>
      <c r="O17" s="3"/>
      <c r="P17" s="4"/>
      <c r="Q17" s="4"/>
      <c r="R17" s="4"/>
      <c r="S17" s="4"/>
      <c r="T17" s="3"/>
    </row>
    <row r="18" spans="1:20" ht="19.899999999999999" customHeight="1" x14ac:dyDescent="0.2">
      <c r="A18" s="27" t="s">
        <v>18</v>
      </c>
      <c r="B18" s="24">
        <v>0</v>
      </c>
      <c r="C18" s="24">
        <v>0</v>
      </c>
      <c r="D18" s="25">
        <v>24566.37</v>
      </c>
      <c r="E18" s="26">
        <v>21319</v>
      </c>
      <c r="F18" s="25">
        <v>12224.049999999997</v>
      </c>
      <c r="G18" s="25">
        <v>20684.16</v>
      </c>
      <c r="H18" s="143"/>
      <c r="I18" s="25">
        <v>19700</v>
      </c>
      <c r="J18" s="96">
        <f t="shared" si="11"/>
        <v>-4.7580370679785877E-2</v>
      </c>
      <c r="K18" s="96">
        <f t="shared" si="12"/>
        <v>0</v>
      </c>
      <c r="L18" s="4"/>
      <c r="M18" s="3"/>
      <c r="N18" s="3"/>
      <c r="O18" s="3"/>
      <c r="P18" s="4"/>
      <c r="Q18" s="4"/>
      <c r="R18" s="4"/>
      <c r="S18" s="4"/>
      <c r="T18" s="3"/>
    </row>
    <row r="19" spans="1:20" ht="19.899999999999999" customHeight="1" x14ac:dyDescent="0.25">
      <c r="A19" s="14" t="s">
        <v>19</v>
      </c>
      <c r="B19" s="28">
        <f>SUM(B13:B18)</f>
        <v>406015</v>
      </c>
      <c r="C19" s="28">
        <f>SUM(C13:C18)</f>
        <v>458524</v>
      </c>
      <c r="D19" s="29">
        <f t="shared" ref="D19:E19" si="13">SUM(D13:D18)</f>
        <v>618587.37</v>
      </c>
      <c r="E19" s="30">
        <f t="shared" si="13"/>
        <v>618254</v>
      </c>
      <c r="F19" s="29">
        <f>SUM(F13:F18)</f>
        <v>727310.35000000009</v>
      </c>
      <c r="G19" s="29">
        <f>SUM(G13:G18)</f>
        <v>708302.18</v>
      </c>
      <c r="H19" s="143"/>
      <c r="I19" s="29">
        <f>SUM(I13:I18)</f>
        <v>685450</v>
      </c>
      <c r="J19" s="97">
        <f t="shared" si="11"/>
        <v>-3.2263320155247931E-2</v>
      </c>
      <c r="K19" s="97">
        <f t="shared" si="12"/>
        <v>9.7183875909907513E-2</v>
      </c>
      <c r="L19" s="4"/>
      <c r="M19" s="3"/>
      <c r="N19" s="3"/>
      <c r="O19" s="3"/>
      <c r="P19" s="4"/>
      <c r="Q19" s="4"/>
      <c r="R19" s="4"/>
      <c r="S19" s="4"/>
      <c r="T19" s="3"/>
    </row>
    <row r="20" spans="1:20" ht="19.899999999999999" customHeight="1" x14ac:dyDescent="0.25">
      <c r="A20" s="14" t="s">
        <v>20</v>
      </c>
      <c r="B20" s="28">
        <v>0</v>
      </c>
      <c r="C20" s="28">
        <v>31332</v>
      </c>
      <c r="D20" s="29">
        <v>66663.48</v>
      </c>
      <c r="E20" s="30">
        <v>0</v>
      </c>
      <c r="F20" s="29">
        <v>0</v>
      </c>
      <c r="G20" s="29">
        <v>0</v>
      </c>
      <c r="H20" s="143"/>
      <c r="I20" s="29">
        <v>0</v>
      </c>
      <c r="J20" s="97">
        <f t="shared" si="11"/>
        <v>0</v>
      </c>
      <c r="K20" s="97">
        <f t="shared" si="12"/>
        <v>0</v>
      </c>
      <c r="L20" s="4"/>
      <c r="M20" s="3"/>
      <c r="N20" s="3"/>
      <c r="O20" s="3"/>
      <c r="P20" s="4"/>
      <c r="Q20" s="4"/>
      <c r="R20" s="4"/>
      <c r="S20" s="4"/>
      <c r="T20" s="3"/>
    </row>
    <row r="21" spans="1:20" ht="19.899999999999999" customHeight="1" x14ac:dyDescent="0.2">
      <c r="A21" s="23" t="s">
        <v>21</v>
      </c>
      <c r="B21" s="24">
        <v>47217</v>
      </c>
      <c r="C21" s="24">
        <v>34112</v>
      </c>
      <c r="D21" s="25">
        <v>57460</v>
      </c>
      <c r="E21" s="26">
        <v>46519</v>
      </c>
      <c r="F21" s="25">
        <v>62435.19</v>
      </c>
      <c r="G21" s="25">
        <v>69320.179999999993</v>
      </c>
      <c r="H21" s="143"/>
      <c r="I21" s="25">
        <v>65000</v>
      </c>
      <c r="J21" s="96">
        <f t="shared" si="11"/>
        <v>-6.232211168522634E-2</v>
      </c>
      <c r="K21" s="96">
        <f t="shared" si="12"/>
        <v>6.60892119068619E-2</v>
      </c>
      <c r="L21" s="4"/>
      <c r="M21" s="3"/>
      <c r="N21" s="3"/>
      <c r="O21" s="3"/>
      <c r="P21" s="4"/>
      <c r="Q21" s="4"/>
      <c r="R21" s="4"/>
      <c r="S21" s="4"/>
      <c r="T21" s="3"/>
    </row>
    <row r="22" spans="1:20" ht="19.899999999999999" customHeight="1" x14ac:dyDescent="0.2">
      <c r="A22" s="27" t="s">
        <v>22</v>
      </c>
      <c r="B22" s="25">
        <v>34151</v>
      </c>
      <c r="C22" s="25">
        <v>41025.79</v>
      </c>
      <c r="D22" s="25">
        <v>24517</v>
      </c>
      <c r="E22" s="26">
        <v>34080</v>
      </c>
      <c r="F22" s="25">
        <v>45011.88</v>
      </c>
      <c r="G22" s="25">
        <v>0</v>
      </c>
      <c r="H22" s="143"/>
      <c r="I22" s="25">
        <v>45000</v>
      </c>
      <c r="J22" s="96">
        <f t="shared" si="11"/>
        <v>0</v>
      </c>
      <c r="K22" s="96">
        <f t="shared" si="12"/>
        <v>-1</v>
      </c>
      <c r="L22" s="4" t="s">
        <v>23</v>
      </c>
      <c r="M22" s="3"/>
      <c r="N22" s="3"/>
      <c r="O22" s="3"/>
      <c r="P22" s="4"/>
      <c r="Q22" s="4"/>
      <c r="R22" s="4"/>
      <c r="S22" s="4"/>
      <c r="T22" s="3"/>
    </row>
    <row r="23" spans="1:20" ht="19.899999999999999" customHeight="1" x14ac:dyDescent="0.2">
      <c r="A23" s="27" t="s">
        <v>24</v>
      </c>
      <c r="B23" s="25">
        <v>16460</v>
      </c>
      <c r="C23" s="25">
        <v>6950</v>
      </c>
      <c r="D23" s="25">
        <v>20358</v>
      </c>
      <c r="E23" s="26">
        <v>17427</v>
      </c>
      <c r="F23" s="25">
        <v>37814</v>
      </c>
      <c r="G23" s="25">
        <v>30409.11</v>
      </c>
      <c r="H23" s="143"/>
      <c r="I23" s="25">
        <v>28500</v>
      </c>
      <c r="J23" s="96">
        <f t="shared" si="11"/>
        <v>-6.2780857446995339E-2</v>
      </c>
      <c r="K23" s="96">
        <f t="shared" si="12"/>
        <v>0.10771740544142694</v>
      </c>
      <c r="L23" s="4" t="s">
        <v>25</v>
      </c>
      <c r="M23" s="3"/>
      <c r="N23" s="3"/>
      <c r="O23" s="3"/>
      <c r="P23" s="4"/>
      <c r="Q23" s="4"/>
      <c r="R23" s="4"/>
      <c r="S23" s="4"/>
      <c r="T23" s="3"/>
    </row>
    <row r="24" spans="1:20" ht="19.899999999999999" customHeight="1" x14ac:dyDescent="0.2">
      <c r="A24" s="27" t="s">
        <v>26</v>
      </c>
      <c r="B24" s="25">
        <v>0</v>
      </c>
      <c r="C24" s="25">
        <v>0</v>
      </c>
      <c r="D24" s="25">
        <v>0</v>
      </c>
      <c r="E24" s="26">
        <v>0</v>
      </c>
      <c r="F24" s="25">
        <v>8945</v>
      </c>
      <c r="G24" s="25">
        <v>7050.5</v>
      </c>
      <c r="H24" s="143"/>
      <c r="I24" s="25">
        <v>8000</v>
      </c>
      <c r="J24" s="96">
        <f t="shared" si="11"/>
        <v>0.13467129990780796</v>
      </c>
      <c r="K24" s="96">
        <f t="shared" si="12"/>
        <v>0</v>
      </c>
      <c r="L24" s="4"/>
      <c r="M24" s="3"/>
      <c r="N24" s="3"/>
      <c r="O24" s="3"/>
      <c r="P24" s="4"/>
      <c r="Q24" s="4"/>
      <c r="R24" s="4"/>
      <c r="S24" s="4"/>
      <c r="T24" s="3"/>
    </row>
    <row r="25" spans="1:20" ht="19.899999999999999" customHeight="1" x14ac:dyDescent="0.2">
      <c r="A25" s="27" t="s">
        <v>140</v>
      </c>
      <c r="B25" s="25">
        <v>0</v>
      </c>
      <c r="C25" s="25">
        <v>0</v>
      </c>
      <c r="D25" s="25">
        <v>0</v>
      </c>
      <c r="E25" s="26">
        <v>0</v>
      </c>
      <c r="F25" s="25">
        <v>0</v>
      </c>
      <c r="G25" s="25">
        <v>38413.22</v>
      </c>
      <c r="H25" s="143"/>
      <c r="I25" s="25">
        <v>25000</v>
      </c>
      <c r="J25" s="96">
        <f t="shared" si="11"/>
        <v>-0.34918239085398206</v>
      </c>
      <c r="K25" s="96">
        <f t="shared" si="12"/>
        <v>0</v>
      </c>
      <c r="L25" s="4" t="s">
        <v>28</v>
      </c>
      <c r="M25" s="3"/>
      <c r="N25" s="3"/>
      <c r="O25" s="3"/>
      <c r="P25" s="4"/>
      <c r="Q25" s="4"/>
      <c r="R25" s="4"/>
      <c r="S25" s="4"/>
      <c r="T25" s="3"/>
    </row>
    <row r="26" spans="1:20" ht="19.899999999999999" customHeight="1" x14ac:dyDescent="0.2">
      <c r="A26" s="27" t="s">
        <v>29</v>
      </c>
      <c r="B26" s="25">
        <v>0</v>
      </c>
      <c r="C26" s="25">
        <v>0</v>
      </c>
      <c r="D26" s="25">
        <v>0</v>
      </c>
      <c r="E26" s="26">
        <v>3212</v>
      </c>
      <c r="F26" s="25">
        <v>3825</v>
      </c>
      <c r="G26" s="25">
        <v>0</v>
      </c>
      <c r="H26" s="143"/>
      <c r="I26" s="25">
        <v>3500</v>
      </c>
      <c r="J26" s="96">
        <f t="shared" si="11"/>
        <v>0</v>
      </c>
      <c r="K26" s="96">
        <f t="shared" si="12"/>
        <v>0</v>
      </c>
      <c r="L26" s="4"/>
      <c r="M26" s="3"/>
      <c r="N26" s="3"/>
      <c r="O26" s="3"/>
      <c r="P26" s="4"/>
      <c r="Q26" s="4"/>
      <c r="R26" s="4"/>
      <c r="S26" s="4"/>
      <c r="T26" s="3"/>
    </row>
    <row r="27" spans="1:20" ht="19.899999999999999" customHeight="1" x14ac:dyDescent="0.25">
      <c r="A27" s="14" t="s">
        <v>30</v>
      </c>
      <c r="B27" s="29">
        <f>SUM(B21:B26)</f>
        <v>97828</v>
      </c>
      <c r="C27" s="29">
        <f t="shared" ref="C27:F27" si="14">SUM(C21:C26)</f>
        <v>82087.790000000008</v>
      </c>
      <c r="D27" s="29">
        <f t="shared" si="14"/>
        <v>102335</v>
      </c>
      <c r="E27" s="30">
        <f t="shared" si="14"/>
        <v>101238</v>
      </c>
      <c r="F27" s="29">
        <f t="shared" si="14"/>
        <v>158031.07</v>
      </c>
      <c r="G27" s="29">
        <f t="shared" ref="G27" si="15">SUM(G21:G26)</f>
        <v>145193.01</v>
      </c>
      <c r="H27" s="143"/>
      <c r="I27" s="29">
        <f t="shared" ref="I27" si="16">SUM(I21:I26)</f>
        <v>175000</v>
      </c>
      <c r="J27" s="97">
        <f t="shared" si="11"/>
        <v>0.20529218314297629</v>
      </c>
      <c r="K27" s="97">
        <f t="shared" si="12"/>
        <v>6.8022549789690245E-2</v>
      </c>
      <c r="L27" s="4"/>
      <c r="M27" s="3"/>
      <c r="N27" s="3"/>
      <c r="O27" s="3"/>
      <c r="P27" s="4"/>
      <c r="Q27" s="4"/>
      <c r="R27" s="4"/>
      <c r="S27" s="4"/>
      <c r="T27" s="3"/>
    </row>
    <row r="28" spans="1:20" ht="25.15" customHeight="1" x14ac:dyDescent="0.25">
      <c r="A28" s="32" t="s">
        <v>31</v>
      </c>
      <c r="B28" s="33">
        <f>B27+B20+B19</f>
        <v>503843</v>
      </c>
      <c r="C28" s="33">
        <f t="shared" ref="C28:E28" si="17">C27+C20+C19</f>
        <v>571943.79</v>
      </c>
      <c r="D28" s="33">
        <f>D27+D20+D19</f>
        <v>787585.85</v>
      </c>
      <c r="E28" s="34">
        <f t="shared" si="17"/>
        <v>719492</v>
      </c>
      <c r="F28" s="33">
        <f>SUM(F19:F26)</f>
        <v>885341.42</v>
      </c>
      <c r="G28" s="33">
        <f>SUM(G19:G26)</f>
        <v>853495.19000000006</v>
      </c>
      <c r="H28" s="144"/>
      <c r="I28" s="33">
        <f>SUM(I19:I26)</f>
        <v>860450</v>
      </c>
      <c r="J28" s="98">
        <f t="shared" si="11"/>
        <v>8.1486223724353251E-3</v>
      </c>
      <c r="K28" s="98">
        <f t="shared" si="12"/>
        <v>9.1819822318678135E-2</v>
      </c>
      <c r="L28" s="35"/>
      <c r="M28" s="36"/>
      <c r="N28" s="36"/>
      <c r="O28" s="36"/>
      <c r="P28" s="4"/>
      <c r="Q28" s="4"/>
      <c r="R28" s="4"/>
      <c r="S28" s="4"/>
      <c r="T28" s="3"/>
    </row>
    <row r="29" spans="1:20" ht="25.15" customHeight="1" x14ac:dyDescent="0.25">
      <c r="A29" s="60" t="s">
        <v>84</v>
      </c>
      <c r="B29" s="61">
        <f>B28-B20-B18</f>
        <v>503843</v>
      </c>
      <c r="C29" s="61">
        <f>C28-C20-C18</f>
        <v>540611.79</v>
      </c>
      <c r="D29" s="61">
        <f>D28-D20-D18</f>
        <v>696356</v>
      </c>
      <c r="E29" s="61">
        <f>E28-E20-E18</f>
        <v>698173</v>
      </c>
      <c r="F29" s="61">
        <f>F28-F20-F18</f>
        <v>873117.37</v>
      </c>
      <c r="G29" s="61">
        <f>G28-G20-G18</f>
        <v>832811.03</v>
      </c>
      <c r="H29" s="62"/>
      <c r="I29" s="61">
        <f>I28-I20-I18</f>
        <v>840750</v>
      </c>
      <c r="J29" s="99">
        <f t="shared" si="11"/>
        <v>9.5327387774870997E-3</v>
      </c>
      <c r="K29" s="99">
        <f t="shared" si="12"/>
        <v>8.7364641173202973E-2</v>
      </c>
      <c r="L29" s="35"/>
      <c r="M29" s="36"/>
      <c r="N29" s="36"/>
      <c r="O29" s="36"/>
      <c r="P29" s="4"/>
      <c r="Q29" s="4"/>
      <c r="R29" s="4"/>
      <c r="S29" s="4"/>
      <c r="T29" s="3"/>
    </row>
    <row r="30" spans="1:20" ht="19.899999999999999" customHeight="1" x14ac:dyDescent="0.2">
      <c r="A30" s="57"/>
      <c r="B30" s="58"/>
      <c r="C30" s="58"/>
      <c r="D30" s="59"/>
      <c r="E30" s="58"/>
      <c r="F30" s="63"/>
      <c r="G30" s="63"/>
      <c r="H30" s="58"/>
      <c r="I30" s="58"/>
      <c r="J30" s="63"/>
      <c r="K30" s="58"/>
      <c r="L30" s="4"/>
      <c r="M30" s="3"/>
      <c r="N30" s="3"/>
      <c r="O30" s="3"/>
      <c r="P30" s="4"/>
      <c r="Q30" s="4"/>
      <c r="R30" s="4"/>
      <c r="S30" s="4"/>
      <c r="T30" s="3"/>
    </row>
    <row r="31" spans="1:20" ht="34.9" customHeight="1" x14ac:dyDescent="0.2">
      <c r="A31" s="9" t="s">
        <v>32</v>
      </c>
      <c r="B31" s="10" t="str">
        <f>B3</f>
        <v>2015 Actual</v>
      </c>
      <c r="C31" s="10" t="str">
        <f t="shared" ref="C31:J31" si="18">C3</f>
        <v>2016 Actual</v>
      </c>
      <c r="D31" s="10" t="str">
        <f t="shared" si="18"/>
        <v>2017 Actual</v>
      </c>
      <c r="E31" s="10" t="str">
        <f t="shared" si="18"/>
        <v>2018 Actual</v>
      </c>
      <c r="F31" s="10" t="str">
        <f t="shared" ref="F31:G31" si="19">F3</f>
        <v>2019 Actual</v>
      </c>
      <c r="G31" s="10" t="str">
        <f t="shared" si="19"/>
        <v>2020 Actual</v>
      </c>
      <c r="H31" s="145"/>
      <c r="I31" s="10" t="str">
        <f t="shared" si="18"/>
        <v>2021 Budget</v>
      </c>
      <c r="J31" s="10" t="str">
        <f t="shared" si="18"/>
        <v>2021 vs 2020 Growth %</v>
      </c>
      <c r="K31" s="10" t="str">
        <f t="shared" ref="K31" si="20">K3</f>
        <v>2015 - 2020 CAGR</v>
      </c>
      <c r="L31" s="4"/>
      <c r="M31" s="3"/>
      <c r="N31" s="3"/>
      <c r="O31" s="3"/>
      <c r="P31" s="4"/>
      <c r="Q31" s="4"/>
      <c r="R31" s="4"/>
      <c r="S31" s="4"/>
      <c r="T31" s="3"/>
    </row>
    <row r="32" spans="1:20" s="3" customFormat="1" ht="19.899999999999999" customHeight="1" x14ac:dyDescent="0.2">
      <c r="A32" s="27" t="s">
        <v>21</v>
      </c>
      <c r="B32" s="24">
        <v>1417</v>
      </c>
      <c r="C32" s="24">
        <v>0</v>
      </c>
      <c r="D32" s="25">
        <v>1206</v>
      </c>
      <c r="E32" s="26">
        <v>436.8</v>
      </c>
      <c r="F32" s="39">
        <v>1842.09</v>
      </c>
      <c r="G32" s="39">
        <v>2933.99</v>
      </c>
      <c r="H32" s="146"/>
      <c r="I32" s="39">
        <v>4500</v>
      </c>
      <c r="J32" s="100">
        <f t="shared" ref="J32:J69" si="21">IFERROR((I32-G32)/G32,0)</f>
        <v>0.53374755878513569</v>
      </c>
      <c r="K32" s="100">
        <f t="shared" ref="K32:K69" si="22">IFERROR((G32/B32)^(1/6)-1,0)</f>
        <v>0.1289675604734446</v>
      </c>
      <c r="L32" s="4"/>
      <c r="P32" s="4"/>
      <c r="Q32" s="4"/>
      <c r="R32" s="4"/>
      <c r="S32" s="4"/>
    </row>
    <row r="33" spans="1:20" s="3" customFormat="1" ht="19.899999999999999" customHeight="1" x14ac:dyDescent="0.2">
      <c r="A33" s="27" t="s">
        <v>22</v>
      </c>
      <c r="B33" s="24">
        <v>8881</v>
      </c>
      <c r="C33" s="24">
        <v>6935.07</v>
      </c>
      <c r="D33" s="25">
        <v>6230.66</v>
      </c>
      <c r="E33" s="26">
        <v>7879.95</v>
      </c>
      <c r="F33" s="39">
        <v>13030.86</v>
      </c>
      <c r="G33" s="39">
        <v>0</v>
      </c>
      <c r="H33" s="146"/>
      <c r="I33" s="39">
        <f>4500+6200</f>
        <v>10700</v>
      </c>
      <c r="J33" s="100">
        <f t="shared" si="21"/>
        <v>0</v>
      </c>
      <c r="K33" s="100">
        <f t="shared" si="22"/>
        <v>-1</v>
      </c>
      <c r="L33" s="4"/>
      <c r="P33" s="4"/>
      <c r="Q33" s="4"/>
      <c r="R33" s="4"/>
      <c r="S33" s="4"/>
    </row>
    <row r="34" spans="1:20" s="3" customFormat="1" ht="19.899999999999999" customHeight="1" x14ac:dyDescent="0.2">
      <c r="A34" s="27" t="s">
        <v>24</v>
      </c>
      <c r="B34" s="24">
        <v>0</v>
      </c>
      <c r="C34" s="24">
        <v>0</v>
      </c>
      <c r="D34" s="25">
        <v>0</v>
      </c>
      <c r="E34" s="26">
        <v>0</v>
      </c>
      <c r="F34" s="39">
        <v>0</v>
      </c>
      <c r="G34" s="39">
        <v>0</v>
      </c>
      <c r="H34" s="146"/>
      <c r="I34" s="39">
        <v>1000</v>
      </c>
      <c r="J34" s="100">
        <f t="shared" si="21"/>
        <v>0</v>
      </c>
      <c r="K34" s="100">
        <f t="shared" si="22"/>
        <v>0</v>
      </c>
      <c r="L34" s="4"/>
      <c r="P34" s="4"/>
      <c r="Q34" s="4"/>
      <c r="R34" s="4"/>
      <c r="S34" s="4"/>
    </row>
    <row r="35" spans="1:20" s="3" customFormat="1" ht="19.899999999999999" customHeight="1" x14ac:dyDescent="0.25">
      <c r="A35" s="14" t="s">
        <v>33</v>
      </c>
      <c r="B35" s="29">
        <f>SUM(B32:B34)</f>
        <v>10298</v>
      </c>
      <c r="C35" s="29">
        <f>SUM(C32:C34)</f>
        <v>6935.07</v>
      </c>
      <c r="D35" s="29">
        <f>SUM(D32:D34)</f>
        <v>7436.66</v>
      </c>
      <c r="E35" s="30">
        <f>SUM(E32:E34)</f>
        <v>8316.75</v>
      </c>
      <c r="F35" s="29">
        <f>SUM(F32:F34)</f>
        <v>14872.95</v>
      </c>
      <c r="G35" s="29">
        <f>SUM(G32:G34)</f>
        <v>2933.99</v>
      </c>
      <c r="H35" s="146"/>
      <c r="I35" s="29">
        <f>SUM(I32:I34)</f>
        <v>16200</v>
      </c>
      <c r="J35" s="97">
        <f t="shared" si="21"/>
        <v>4.5214912116264889</v>
      </c>
      <c r="K35" s="97">
        <f t="shared" si="22"/>
        <v>-0.18881927298450074</v>
      </c>
      <c r="L35" s="4"/>
      <c r="P35" s="4"/>
      <c r="Q35" s="4"/>
      <c r="R35" s="4"/>
      <c r="S35" s="4"/>
    </row>
    <row r="36" spans="1:20" s="3" customFormat="1" ht="19.899999999999999" customHeight="1" x14ac:dyDescent="0.2">
      <c r="A36" s="27" t="s">
        <v>34</v>
      </c>
      <c r="B36" s="24">
        <v>0</v>
      </c>
      <c r="C36" s="24">
        <v>450.98</v>
      </c>
      <c r="D36" s="24">
        <v>0</v>
      </c>
      <c r="E36" s="24">
        <v>0</v>
      </c>
      <c r="F36" s="25">
        <v>1130.1600000000001</v>
      </c>
      <c r="G36" s="25">
        <v>0</v>
      </c>
      <c r="H36" s="146"/>
      <c r="I36" s="25">
        <v>750</v>
      </c>
      <c r="J36" s="96">
        <f t="shared" si="21"/>
        <v>0</v>
      </c>
      <c r="K36" s="96">
        <f t="shared" si="22"/>
        <v>0</v>
      </c>
      <c r="L36" s="4"/>
      <c r="P36" s="4"/>
      <c r="Q36" s="4"/>
      <c r="R36" s="4"/>
      <c r="S36" s="4"/>
    </row>
    <row r="37" spans="1:20" s="3" customFormat="1" ht="19.899999999999999" customHeight="1" x14ac:dyDescent="0.2">
      <c r="A37" s="27" t="s">
        <v>35</v>
      </c>
      <c r="B37" s="24">
        <v>0</v>
      </c>
      <c r="C37" s="24">
        <v>10000</v>
      </c>
      <c r="D37" s="24">
        <v>11647.78</v>
      </c>
      <c r="E37" s="24">
        <v>2550</v>
      </c>
      <c r="F37" s="25">
        <v>0</v>
      </c>
      <c r="G37" s="25">
        <v>4872.62</v>
      </c>
      <c r="H37" s="146"/>
      <c r="I37" s="25">
        <v>2050</v>
      </c>
      <c r="J37" s="96">
        <f t="shared" si="21"/>
        <v>-0.57928178269596231</v>
      </c>
      <c r="K37" s="96">
        <f t="shared" si="22"/>
        <v>0</v>
      </c>
      <c r="L37" s="4" t="s">
        <v>36</v>
      </c>
      <c r="P37" s="4"/>
      <c r="Q37" s="4"/>
      <c r="R37" s="4"/>
      <c r="S37" s="4"/>
    </row>
    <row r="38" spans="1:20" s="3" customFormat="1" ht="19.899999999999999" customHeight="1" x14ac:dyDescent="0.2">
      <c r="A38" s="27" t="s">
        <v>37</v>
      </c>
      <c r="B38" s="24">
        <v>3855</v>
      </c>
      <c r="C38" s="24">
        <v>6993.1</v>
      </c>
      <c r="D38" s="24">
        <f>32670-D41</f>
        <v>4074</v>
      </c>
      <c r="E38" s="24">
        <f>28503-E41</f>
        <v>4879</v>
      </c>
      <c r="F38" s="25">
        <v>8249.2000000000007</v>
      </c>
      <c r="G38" s="25">
        <f>63041.35-43565.19-10000</f>
        <v>9476.1599999999962</v>
      </c>
      <c r="H38" s="146"/>
      <c r="I38" s="25">
        <v>7500</v>
      </c>
      <c r="J38" s="96">
        <f t="shared" si="21"/>
        <v>-0.20854016816938475</v>
      </c>
      <c r="K38" s="96">
        <f t="shared" si="22"/>
        <v>0.16171964580578768</v>
      </c>
      <c r="L38" s="4"/>
      <c r="P38" s="4"/>
      <c r="Q38" s="4"/>
      <c r="R38" s="4"/>
      <c r="S38" s="4"/>
    </row>
    <row r="39" spans="1:20" s="3" customFormat="1" ht="19.899999999999999" customHeight="1" x14ac:dyDescent="0.2">
      <c r="A39" s="27" t="s">
        <v>38</v>
      </c>
      <c r="B39" s="24">
        <v>10622</v>
      </c>
      <c r="C39" s="24">
        <v>12118.51</v>
      </c>
      <c r="D39" s="24">
        <v>19064.419999999998</v>
      </c>
      <c r="E39" s="24">
        <f>16371.68+2558.49+2258.89</f>
        <v>21189.059999999998</v>
      </c>
      <c r="F39" s="25">
        <v>20084.02</v>
      </c>
      <c r="G39" s="25">
        <f>52106.63-G37-10792.51-10000</f>
        <v>26441.499999999993</v>
      </c>
      <c r="H39" s="146"/>
      <c r="I39" s="25">
        <v>25000</v>
      </c>
      <c r="J39" s="96">
        <f t="shared" si="21"/>
        <v>-5.4516574324451832E-2</v>
      </c>
      <c r="K39" s="96">
        <f t="shared" si="22"/>
        <v>0.16416167680926463</v>
      </c>
      <c r="L39" s="4"/>
      <c r="P39" s="4"/>
      <c r="Q39" s="4"/>
      <c r="R39" s="4"/>
      <c r="S39" s="4"/>
    </row>
    <row r="40" spans="1:20" s="3" customFormat="1" ht="19.899999999999999" customHeight="1" x14ac:dyDescent="0.25">
      <c r="A40" s="14" t="s">
        <v>39</v>
      </c>
      <c r="B40" s="29">
        <f>SUM(B36:B39)</f>
        <v>14477</v>
      </c>
      <c r="C40" s="29">
        <f t="shared" ref="C40:E40" si="23">SUM(C36:C39)</f>
        <v>29562.590000000004</v>
      </c>
      <c r="D40" s="29">
        <f t="shared" si="23"/>
        <v>34786.199999999997</v>
      </c>
      <c r="E40" s="30">
        <f t="shared" si="23"/>
        <v>28618.059999999998</v>
      </c>
      <c r="F40" s="29">
        <f>SUM(F36:F39)</f>
        <v>29463.38</v>
      </c>
      <c r="G40" s="29">
        <f>SUM(G36:G39)</f>
        <v>40790.279999999984</v>
      </c>
      <c r="H40" s="146"/>
      <c r="I40" s="29">
        <f t="shared" ref="I40" si="24">SUM(I36:I39)</f>
        <v>35300</v>
      </c>
      <c r="J40" s="97">
        <f t="shared" si="21"/>
        <v>-0.13459775220959469</v>
      </c>
      <c r="K40" s="97">
        <f t="shared" si="22"/>
        <v>0.18844663510234838</v>
      </c>
      <c r="L40" s="4"/>
      <c r="P40" s="4"/>
      <c r="Q40" s="4"/>
      <c r="R40" s="4"/>
      <c r="S40" s="4"/>
    </row>
    <row r="41" spans="1:20" s="3" customFormat="1" ht="19.899999999999999" customHeight="1" x14ac:dyDescent="0.25">
      <c r="A41" s="14" t="s">
        <v>85</v>
      </c>
      <c r="B41" s="29">
        <v>0</v>
      </c>
      <c r="C41" s="29">
        <v>13017</v>
      </c>
      <c r="D41" s="29">
        <v>28596</v>
      </c>
      <c r="E41" s="30">
        <v>23624</v>
      </c>
      <c r="F41" s="29">
        <v>33409</v>
      </c>
      <c r="G41" s="29">
        <v>31396.13</v>
      </c>
      <c r="H41" s="146"/>
      <c r="I41" s="29">
        <v>30000</v>
      </c>
      <c r="J41" s="97">
        <f t="shared" si="21"/>
        <v>-4.4468219490746183E-2</v>
      </c>
      <c r="K41" s="97">
        <f t="shared" si="22"/>
        <v>0</v>
      </c>
      <c r="L41" s="4"/>
      <c r="P41" s="4"/>
      <c r="Q41" s="4"/>
      <c r="R41" s="4"/>
      <c r="S41" s="4"/>
    </row>
    <row r="42" spans="1:20" ht="19.899999999999999" customHeight="1" x14ac:dyDescent="0.2">
      <c r="A42" s="27" t="s">
        <v>40</v>
      </c>
      <c r="B42" s="24">
        <v>100</v>
      </c>
      <c r="C42" s="24">
        <v>3385.03</v>
      </c>
      <c r="D42" s="24">
        <v>13019</v>
      </c>
      <c r="E42" s="24">
        <v>16256</v>
      </c>
      <c r="F42" s="24">
        <v>72.72</v>
      </c>
      <c r="G42" s="24">
        <v>2751.19</v>
      </c>
      <c r="H42" s="146"/>
      <c r="I42" s="24">
        <v>4500</v>
      </c>
      <c r="J42" s="101">
        <f t="shared" si="21"/>
        <v>0.6356558434713705</v>
      </c>
      <c r="K42" s="101">
        <f t="shared" si="22"/>
        <v>0.73748113305470153</v>
      </c>
      <c r="L42" s="4"/>
      <c r="M42" s="3"/>
      <c r="N42" s="66"/>
      <c r="O42" s="3"/>
      <c r="P42" s="4"/>
      <c r="Q42" s="4"/>
      <c r="R42" s="4"/>
      <c r="S42" s="4"/>
      <c r="T42" s="3"/>
    </row>
    <row r="43" spans="1:20" ht="19.899999999999999" customHeight="1" x14ac:dyDescent="0.2">
      <c r="A43" s="27" t="s">
        <v>41</v>
      </c>
      <c r="B43" s="24">
        <v>0</v>
      </c>
      <c r="C43" s="24">
        <v>175</v>
      </c>
      <c r="D43" s="24">
        <v>0</v>
      </c>
      <c r="E43" s="24">
        <v>0</v>
      </c>
      <c r="F43" s="24">
        <v>58.05</v>
      </c>
      <c r="G43" s="24">
        <v>0</v>
      </c>
      <c r="H43" s="146"/>
      <c r="I43" s="24">
        <v>0</v>
      </c>
      <c r="J43" s="101">
        <f t="shared" si="21"/>
        <v>0</v>
      </c>
      <c r="K43" s="101">
        <f t="shared" si="22"/>
        <v>0</v>
      </c>
      <c r="L43" s="4"/>
      <c r="M43" s="3"/>
      <c r="N43" s="66"/>
      <c r="O43" s="3"/>
      <c r="P43" s="4"/>
      <c r="Q43" s="4"/>
      <c r="R43" s="4"/>
      <c r="S43" s="4"/>
      <c r="T43" s="3"/>
    </row>
    <row r="44" spans="1:20" ht="19.899999999999999" customHeight="1" x14ac:dyDescent="0.2">
      <c r="A44" s="27" t="s">
        <v>42</v>
      </c>
      <c r="B44" s="24">
        <v>0</v>
      </c>
      <c r="C44" s="24">
        <v>60</v>
      </c>
      <c r="D44" s="24">
        <v>2773.6410846491049</v>
      </c>
      <c r="E44" s="24">
        <v>2076.4699999999998</v>
      </c>
      <c r="F44" s="24">
        <v>4504.9799999999996</v>
      </c>
      <c r="G44" s="24">
        <v>7827.75</v>
      </c>
      <c r="H44" s="146"/>
      <c r="I44" s="24">
        <v>8325</v>
      </c>
      <c r="J44" s="101">
        <f t="shared" si="21"/>
        <v>6.3524001149755677E-2</v>
      </c>
      <c r="K44" s="101">
        <f t="shared" si="22"/>
        <v>0</v>
      </c>
      <c r="L44" s="4" t="s">
        <v>43</v>
      </c>
      <c r="M44" s="3"/>
      <c r="N44" s="66"/>
      <c r="O44" s="3"/>
      <c r="P44" s="4"/>
      <c r="Q44" s="4"/>
      <c r="R44" s="4"/>
      <c r="S44" s="4"/>
      <c r="T44" s="3"/>
    </row>
    <row r="45" spans="1:20" ht="19.899999999999999" customHeight="1" x14ac:dyDescent="0.2">
      <c r="A45" s="12" t="s">
        <v>44</v>
      </c>
      <c r="B45" s="24">
        <v>46659</v>
      </c>
      <c r="C45" s="24">
        <v>62766.7</v>
      </c>
      <c r="D45" s="24">
        <v>79123</v>
      </c>
      <c r="E45" s="24">
        <v>83830</v>
      </c>
      <c r="F45" s="24">
        <f>121131.81-30210.64</f>
        <v>90921.17</v>
      </c>
      <c r="G45" s="24">
        <v>66857.47</v>
      </c>
      <c r="H45" s="146"/>
      <c r="I45" s="24">
        <v>65000</v>
      </c>
      <c r="J45" s="101">
        <f t="shared" si="21"/>
        <v>-2.7782534995715528E-2</v>
      </c>
      <c r="K45" s="101">
        <f t="shared" si="22"/>
        <v>6.1782961481237741E-2</v>
      </c>
      <c r="L45" s="4"/>
      <c r="M45" s="3"/>
      <c r="N45" s="66"/>
      <c r="O45" s="3"/>
      <c r="P45" s="4"/>
      <c r="Q45" s="4"/>
      <c r="R45" s="4"/>
      <c r="S45" s="4"/>
      <c r="T45" s="3"/>
    </row>
    <row r="46" spans="1:20" ht="19.899999999999999" customHeight="1" x14ac:dyDescent="0.2">
      <c r="A46" s="12" t="s">
        <v>45</v>
      </c>
      <c r="B46" s="24">
        <v>0</v>
      </c>
      <c r="C46" s="24">
        <v>6822</v>
      </c>
      <c r="D46" s="24">
        <v>8109</v>
      </c>
      <c r="E46" s="24">
        <v>12928</v>
      </c>
      <c r="F46" s="24">
        <v>12498.79</v>
      </c>
      <c r="G46" s="24">
        <v>12897.76</v>
      </c>
      <c r="H46" s="146"/>
      <c r="I46" s="24">
        <v>14120</v>
      </c>
      <c r="J46" s="101">
        <f t="shared" si="21"/>
        <v>9.4763741921077754E-2</v>
      </c>
      <c r="K46" s="101">
        <f t="shared" si="22"/>
        <v>0</v>
      </c>
      <c r="L46" s="4" t="s">
        <v>46</v>
      </c>
      <c r="M46" s="3"/>
      <c r="N46" s="66"/>
      <c r="O46" s="3"/>
      <c r="P46" s="4"/>
      <c r="Q46" s="4"/>
      <c r="R46" s="4"/>
      <c r="S46" s="4"/>
      <c r="T46" s="3"/>
    </row>
    <row r="47" spans="1:20" ht="19.899999999999999" customHeight="1" x14ac:dyDescent="0.2">
      <c r="A47" s="12" t="s">
        <v>47</v>
      </c>
      <c r="B47" s="24">
        <v>0</v>
      </c>
      <c r="C47" s="24">
        <v>850</v>
      </c>
      <c r="D47" s="24">
        <v>82.618829056069174</v>
      </c>
      <c r="E47" s="24">
        <v>111.87</v>
      </c>
      <c r="F47" s="24">
        <v>80</v>
      </c>
      <c r="G47" s="24">
        <v>125</v>
      </c>
      <c r="H47" s="146"/>
      <c r="I47" s="24">
        <v>125</v>
      </c>
      <c r="J47" s="101">
        <f t="shared" si="21"/>
        <v>0</v>
      </c>
      <c r="K47" s="101">
        <f t="shared" si="22"/>
        <v>0</v>
      </c>
      <c r="L47" s="4"/>
      <c r="M47" s="3"/>
      <c r="N47" s="66"/>
      <c r="O47" s="3"/>
      <c r="P47" s="4"/>
      <c r="Q47" s="4"/>
      <c r="R47" s="4"/>
      <c r="S47" s="4"/>
      <c r="T47" s="3"/>
    </row>
    <row r="48" spans="1:20" ht="19.899999999999999" customHeight="1" x14ac:dyDescent="0.2">
      <c r="A48" s="27" t="s">
        <v>48</v>
      </c>
      <c r="B48" s="24">
        <v>57742</v>
      </c>
      <c r="C48" s="24">
        <v>6748.55</v>
      </c>
      <c r="D48" s="24">
        <v>31.382183738694291</v>
      </c>
      <c r="E48" s="24">
        <v>122.99000000000001</v>
      </c>
      <c r="F48" s="24">
        <v>88.04</v>
      </c>
      <c r="G48" s="24">
        <v>1144.23</v>
      </c>
      <c r="H48" s="146"/>
      <c r="I48" s="24">
        <v>2000</v>
      </c>
      <c r="J48" s="101">
        <f t="shared" si="21"/>
        <v>0.74790033472291406</v>
      </c>
      <c r="K48" s="101">
        <f t="shared" si="22"/>
        <v>-0.47980011567173952</v>
      </c>
      <c r="L48" s="4"/>
      <c r="M48" s="3"/>
      <c r="N48" s="66"/>
      <c r="O48" s="3"/>
      <c r="P48" s="4"/>
      <c r="Q48" s="4"/>
      <c r="R48" s="4"/>
      <c r="S48" s="4"/>
      <c r="T48" s="3"/>
    </row>
    <row r="49" spans="1:20" ht="19.899999999999999" customHeight="1" x14ac:dyDescent="0.2">
      <c r="A49" s="27" t="s">
        <v>49</v>
      </c>
      <c r="B49" s="24">
        <v>1935</v>
      </c>
      <c r="C49" s="24">
        <v>1598.16</v>
      </c>
      <c r="D49" s="24">
        <v>3746</v>
      </c>
      <c r="E49" s="24">
        <v>2150</v>
      </c>
      <c r="F49" s="24">
        <v>8434.25</v>
      </c>
      <c r="G49" s="24">
        <v>8707.3700000000008</v>
      </c>
      <c r="H49" s="146"/>
      <c r="I49" s="24">
        <v>8900</v>
      </c>
      <c r="J49" s="101">
        <f t="shared" si="21"/>
        <v>2.2122638638302862E-2</v>
      </c>
      <c r="K49" s="101">
        <f t="shared" si="22"/>
        <v>0.28489509622334919</v>
      </c>
      <c r="L49" s="4" t="s">
        <v>50</v>
      </c>
      <c r="M49" s="3"/>
      <c r="N49" s="66"/>
      <c r="O49" s="3"/>
      <c r="P49" s="4"/>
      <c r="Q49" s="4"/>
      <c r="R49" s="4"/>
      <c r="S49" s="4"/>
      <c r="T49" s="3"/>
    </row>
    <row r="50" spans="1:20" ht="19.899999999999999" customHeight="1" x14ac:dyDescent="0.2">
      <c r="A50" s="27" t="s">
        <v>51</v>
      </c>
      <c r="B50" s="24">
        <v>3489</v>
      </c>
      <c r="C50" s="24">
        <v>3242.87</v>
      </c>
      <c r="D50" s="24">
        <v>3099</v>
      </c>
      <c r="E50" s="24">
        <v>2996</v>
      </c>
      <c r="F50" s="24">
        <v>4247.58</v>
      </c>
      <c r="G50" s="24">
        <v>3726.19</v>
      </c>
      <c r="H50" s="146"/>
      <c r="I50" s="24">
        <v>3000</v>
      </c>
      <c r="J50" s="101">
        <f t="shared" si="21"/>
        <v>-0.19488807602403529</v>
      </c>
      <c r="K50" s="101">
        <f t="shared" si="22"/>
        <v>1.1022151499803901E-2</v>
      </c>
      <c r="L50" s="4"/>
      <c r="M50" s="3"/>
      <c r="N50" s="66"/>
      <c r="O50" s="3"/>
      <c r="P50" s="4"/>
      <c r="Q50" s="4"/>
      <c r="R50" s="4"/>
      <c r="S50" s="4"/>
      <c r="T50" s="3"/>
    </row>
    <row r="51" spans="1:20" ht="19.899999999999999" customHeight="1" x14ac:dyDescent="0.2">
      <c r="A51" s="27" t="s">
        <v>52</v>
      </c>
      <c r="B51" s="24">
        <v>0</v>
      </c>
      <c r="C51" s="24">
        <v>1960</v>
      </c>
      <c r="D51" s="24">
        <v>3904.4666934892148</v>
      </c>
      <c r="E51" s="24">
        <v>100</v>
      </c>
      <c r="F51" s="24">
        <v>586.55999999999995</v>
      </c>
      <c r="G51" s="24">
        <v>4803.03</v>
      </c>
      <c r="H51" s="146"/>
      <c r="I51" s="24">
        <v>1200</v>
      </c>
      <c r="J51" s="101">
        <f t="shared" si="21"/>
        <v>-0.75015771294370426</v>
      </c>
      <c r="K51" s="101">
        <f t="shared" si="22"/>
        <v>0</v>
      </c>
      <c r="L51" s="4"/>
      <c r="M51" s="3"/>
      <c r="N51" s="66"/>
      <c r="O51" s="3"/>
      <c r="P51" s="4"/>
      <c r="Q51" s="4"/>
      <c r="R51" s="4"/>
      <c r="S51" s="4"/>
      <c r="T51" s="3"/>
    </row>
    <row r="52" spans="1:20" ht="19.899999999999999" customHeight="1" x14ac:dyDescent="0.2">
      <c r="A52" s="27" t="s">
        <v>53</v>
      </c>
      <c r="B52" s="24">
        <v>84519</v>
      </c>
      <c r="C52" s="24">
        <v>173615.01</v>
      </c>
      <c r="D52" s="24">
        <v>269428</v>
      </c>
      <c r="E52" s="24">
        <v>239715</v>
      </c>
      <c r="F52" s="24">
        <v>240869.65000000002</v>
      </c>
      <c r="G52" s="24">
        <v>254985.01</v>
      </c>
      <c r="H52" s="146"/>
      <c r="I52" s="24">
        <f>G52*1.035</f>
        <v>263909.48534999997</v>
      </c>
      <c r="J52" s="101">
        <f t="shared" si="21"/>
        <v>3.4999999999999858E-2</v>
      </c>
      <c r="K52" s="101">
        <f t="shared" si="22"/>
        <v>0.20206158029380794</v>
      </c>
      <c r="L52" s="4"/>
      <c r="M52" s="3"/>
      <c r="N52" s="66"/>
      <c r="O52" s="3"/>
      <c r="P52" s="4"/>
      <c r="Q52" s="4"/>
      <c r="R52" s="4"/>
      <c r="S52" s="4"/>
      <c r="T52" s="3"/>
    </row>
    <row r="53" spans="1:20" ht="19.899999999999999" customHeight="1" x14ac:dyDescent="0.2">
      <c r="A53" s="27" t="s">
        <v>54</v>
      </c>
      <c r="B53" s="24">
        <v>0</v>
      </c>
      <c r="C53" s="24">
        <v>13281.8</v>
      </c>
      <c r="D53" s="24">
        <v>19966.726110641812</v>
      </c>
      <c r="E53" s="24">
        <v>13105.51</v>
      </c>
      <c r="F53" s="24">
        <v>12603.4</v>
      </c>
      <c r="G53" s="24">
        <v>14071.66</v>
      </c>
      <c r="H53" s="146"/>
      <c r="I53" s="24">
        <f>I52*0.0625</f>
        <v>16494.342834374998</v>
      </c>
      <c r="J53" s="101">
        <f t="shared" si="21"/>
        <v>0.17216752212425532</v>
      </c>
      <c r="K53" s="101">
        <f t="shared" si="22"/>
        <v>0</v>
      </c>
      <c r="L53" s="4"/>
      <c r="M53" s="3"/>
      <c r="N53" s="66"/>
      <c r="O53" s="66"/>
      <c r="P53" s="66"/>
      <c r="Q53" s="66"/>
      <c r="R53" s="4"/>
      <c r="S53" s="4"/>
      <c r="T53" s="3"/>
    </row>
    <row r="54" spans="1:20" ht="19.899999999999999" customHeight="1" x14ac:dyDescent="0.2">
      <c r="A54" s="27" t="s">
        <v>55</v>
      </c>
      <c r="B54" s="24">
        <v>0</v>
      </c>
      <c r="C54" s="24">
        <v>3144.82</v>
      </c>
      <c r="D54" s="24">
        <v>2997.6575729038173</v>
      </c>
      <c r="E54" s="24">
        <v>802.37</v>
      </c>
      <c r="F54" s="24">
        <v>3456.87</v>
      </c>
      <c r="G54" s="24">
        <v>5675.09</v>
      </c>
      <c r="H54" s="146"/>
      <c r="I54" s="24">
        <v>3000</v>
      </c>
      <c r="J54" s="101">
        <f t="shared" si="21"/>
        <v>-0.47137402226220204</v>
      </c>
      <c r="K54" s="101">
        <f t="shared" si="22"/>
        <v>0</v>
      </c>
      <c r="L54" s="4"/>
      <c r="M54" s="3"/>
      <c r="N54" s="66"/>
      <c r="O54" s="3"/>
      <c r="P54" s="4"/>
      <c r="Q54" s="4"/>
      <c r="R54" s="4"/>
      <c r="S54" s="4"/>
      <c r="T54" s="3"/>
    </row>
    <row r="55" spans="1:20" ht="19.899999999999999" customHeight="1" x14ac:dyDescent="0.2">
      <c r="A55" s="12" t="s">
        <v>56</v>
      </c>
      <c r="B55" s="24">
        <v>1180</v>
      </c>
      <c r="C55" s="24">
        <v>1905</v>
      </c>
      <c r="D55" s="24">
        <v>9392</v>
      </c>
      <c r="E55" s="24">
        <v>13247</v>
      </c>
      <c r="F55" s="24">
        <v>21621</v>
      </c>
      <c r="G55" s="24">
        <v>16159.55</v>
      </c>
      <c r="H55" s="146"/>
      <c r="I55" s="24">
        <v>27200</v>
      </c>
      <c r="J55" s="101">
        <f t="shared" si="21"/>
        <v>0.68321518854176022</v>
      </c>
      <c r="K55" s="101">
        <f t="shared" si="22"/>
        <v>0.54676573442514176</v>
      </c>
      <c r="L55" s="4" t="s">
        <v>57</v>
      </c>
      <c r="M55" s="3"/>
      <c r="N55" s="66"/>
      <c r="O55" s="3"/>
      <c r="P55" s="4"/>
      <c r="Q55" s="4"/>
      <c r="R55" s="4"/>
      <c r="S55" s="4"/>
      <c r="T55" s="3"/>
    </row>
    <row r="56" spans="1:20" ht="19.899999999999999" customHeight="1" x14ac:dyDescent="0.2">
      <c r="A56" s="12" t="s">
        <v>58</v>
      </c>
      <c r="B56" s="24">
        <v>0</v>
      </c>
      <c r="C56" s="24">
        <v>0</v>
      </c>
      <c r="D56" s="24">
        <v>3205.4390114377125</v>
      </c>
      <c r="E56" s="24">
        <v>1604.54</v>
      </c>
      <c r="F56" s="24">
        <v>230.32</v>
      </c>
      <c r="G56" s="24">
        <v>3018.31</v>
      </c>
      <c r="H56" s="146"/>
      <c r="I56" s="24">
        <v>2000</v>
      </c>
      <c r="J56" s="101">
        <f t="shared" si="21"/>
        <v>-0.33737753908644241</v>
      </c>
      <c r="K56" s="101">
        <f t="shared" si="22"/>
        <v>0</v>
      </c>
      <c r="L56" s="4" t="s">
        <v>59</v>
      </c>
      <c r="M56" s="3"/>
      <c r="N56" s="66"/>
      <c r="O56" s="3"/>
      <c r="P56" s="4"/>
      <c r="Q56" s="4"/>
      <c r="R56" s="4"/>
      <c r="S56" s="4"/>
      <c r="T56" s="3"/>
    </row>
    <row r="57" spans="1:20" ht="19.899999999999999" customHeight="1" x14ac:dyDescent="0.2">
      <c r="A57" s="27" t="s">
        <v>60</v>
      </c>
      <c r="B57" s="24">
        <v>0</v>
      </c>
      <c r="C57" s="24">
        <v>13565.39</v>
      </c>
      <c r="D57" s="24">
        <v>2951.4629984404592</v>
      </c>
      <c r="E57" s="24">
        <v>3856.37</v>
      </c>
      <c r="F57" s="24">
        <v>17983.36</v>
      </c>
      <c r="G57" s="24">
        <f>2463.68+2145</f>
        <v>4608.68</v>
      </c>
      <c r="H57" s="146"/>
      <c r="I57" s="24">
        <v>8500</v>
      </c>
      <c r="J57" s="101">
        <f t="shared" si="21"/>
        <v>0.84434588645772746</v>
      </c>
      <c r="K57" s="101">
        <f t="shared" si="22"/>
        <v>0</v>
      </c>
      <c r="L57" s="4" t="s">
        <v>61</v>
      </c>
      <c r="M57" s="3"/>
      <c r="N57" s="66"/>
      <c r="O57" s="3"/>
      <c r="P57" s="4"/>
      <c r="Q57" s="4"/>
      <c r="R57" s="4"/>
      <c r="S57" s="4"/>
      <c r="T57" s="3"/>
    </row>
    <row r="58" spans="1:20" ht="19.899999999999999" customHeight="1" x14ac:dyDescent="0.2">
      <c r="A58" s="27" t="s">
        <v>63</v>
      </c>
      <c r="B58" s="24">
        <v>0</v>
      </c>
      <c r="C58" s="24">
        <v>510</v>
      </c>
      <c r="D58" s="24">
        <v>1106.1382909656706</v>
      </c>
      <c r="E58" s="24">
        <v>1935</v>
      </c>
      <c r="F58" s="24">
        <v>3253.3</v>
      </c>
      <c r="G58" s="24">
        <v>1596</v>
      </c>
      <c r="H58" s="146"/>
      <c r="I58" s="24">
        <v>1600</v>
      </c>
      <c r="J58" s="101">
        <f t="shared" si="21"/>
        <v>2.5062656641604009E-3</v>
      </c>
      <c r="K58" s="101">
        <f t="shared" si="22"/>
        <v>0</v>
      </c>
      <c r="L58" s="4" t="s">
        <v>64</v>
      </c>
      <c r="M58" s="3"/>
      <c r="N58" s="66"/>
      <c r="O58" s="3"/>
      <c r="P58" s="4"/>
      <c r="Q58" s="4"/>
      <c r="R58" s="4"/>
      <c r="S58" s="4"/>
      <c r="T58" s="3"/>
    </row>
    <row r="59" spans="1:20" ht="19.899999999999999" customHeight="1" x14ac:dyDescent="0.2">
      <c r="A59" s="27" t="s">
        <v>65</v>
      </c>
      <c r="B59" s="24">
        <v>584</v>
      </c>
      <c r="C59" s="24">
        <v>589.5</v>
      </c>
      <c r="D59" s="24">
        <v>652.48790356701875</v>
      </c>
      <c r="E59" s="24">
        <v>175.25</v>
      </c>
      <c r="F59" s="24">
        <v>260</v>
      </c>
      <c r="G59" s="24">
        <v>20</v>
      </c>
      <c r="H59" s="146"/>
      <c r="I59" s="24">
        <v>300</v>
      </c>
      <c r="J59" s="101">
        <f t="shared" si="21"/>
        <v>14</v>
      </c>
      <c r="K59" s="101">
        <f t="shared" si="22"/>
        <v>-0.430138227270492</v>
      </c>
      <c r="L59" s="4"/>
      <c r="M59" s="3"/>
      <c r="N59" s="66"/>
      <c r="O59" s="3"/>
      <c r="P59" s="4"/>
      <c r="Q59" s="4"/>
      <c r="R59" s="4"/>
      <c r="S59" s="4"/>
      <c r="T59" s="3"/>
    </row>
    <row r="60" spans="1:20" ht="19.899999999999999" customHeight="1" x14ac:dyDescent="0.2">
      <c r="A60" s="27" t="s">
        <v>86</v>
      </c>
      <c r="B60" s="24">
        <v>0</v>
      </c>
      <c r="C60" s="24">
        <v>2230.87</v>
      </c>
      <c r="D60" s="24">
        <v>4302</v>
      </c>
      <c r="E60" s="24">
        <v>3252</v>
      </c>
      <c r="F60" s="24">
        <v>5509.85</v>
      </c>
      <c r="G60" s="24">
        <v>4130.82</v>
      </c>
      <c r="H60" s="146"/>
      <c r="I60" s="24">
        <v>4200</v>
      </c>
      <c r="J60" s="101">
        <f t="shared" si="21"/>
        <v>1.6747280201025533E-2</v>
      </c>
      <c r="K60" s="101">
        <f t="shared" si="22"/>
        <v>0</v>
      </c>
      <c r="L60" s="4"/>
      <c r="M60" s="3"/>
      <c r="N60" s="66"/>
      <c r="O60" s="3"/>
      <c r="P60" s="4"/>
      <c r="Q60" s="4"/>
      <c r="R60" s="4"/>
      <c r="S60" s="4"/>
      <c r="T60" s="3"/>
    </row>
    <row r="61" spans="1:20" ht="19.899999999999999" customHeight="1" x14ac:dyDescent="0.2">
      <c r="A61" s="27" t="s">
        <v>67</v>
      </c>
      <c r="B61" s="24">
        <v>50056</v>
      </c>
      <c r="C61" s="24">
        <v>52495</v>
      </c>
      <c r="D61" s="24">
        <v>34315</v>
      </c>
      <c r="E61" s="24">
        <v>37595</v>
      </c>
      <c r="F61" s="24">
        <v>33711.879999999997</v>
      </c>
      <c r="G61" s="24">
        <v>42685</v>
      </c>
      <c r="H61" s="146"/>
      <c r="I61" s="24">
        <v>45000</v>
      </c>
      <c r="J61" s="101">
        <f t="shared" si="21"/>
        <v>5.4234508609581823E-2</v>
      </c>
      <c r="K61" s="101">
        <f t="shared" si="22"/>
        <v>-2.6199804725907105E-2</v>
      </c>
      <c r="L61" s="4" t="s">
        <v>68</v>
      </c>
      <c r="M61" s="3"/>
      <c r="N61" s="66"/>
      <c r="O61" s="3"/>
      <c r="P61" s="4"/>
      <c r="Q61" s="4"/>
      <c r="R61" s="4"/>
      <c r="S61" s="4"/>
      <c r="T61" s="3"/>
    </row>
    <row r="62" spans="1:20" ht="19.899999999999999" customHeight="1" x14ac:dyDescent="0.2">
      <c r="A62" s="27" t="s">
        <v>69</v>
      </c>
      <c r="B62" s="24">
        <v>1955</v>
      </c>
      <c r="C62" s="24">
        <v>2370.65</v>
      </c>
      <c r="D62" s="24">
        <v>2336.1943647875323</v>
      </c>
      <c r="E62" s="24">
        <v>3479.39</v>
      </c>
      <c r="F62" s="24">
        <v>6623.24</v>
      </c>
      <c r="G62" s="24">
        <f>6762.23</f>
        <v>6762.23</v>
      </c>
      <c r="H62" s="146"/>
      <c r="I62" s="24">
        <v>7000</v>
      </c>
      <c r="J62" s="101">
        <f t="shared" si="21"/>
        <v>3.5161477796525772E-2</v>
      </c>
      <c r="K62" s="101">
        <f t="shared" si="22"/>
        <v>0.22976991057520135</v>
      </c>
      <c r="L62" s="4"/>
      <c r="M62" s="3"/>
      <c r="N62" s="66"/>
      <c r="O62" s="3"/>
      <c r="P62" s="4"/>
      <c r="Q62" s="4"/>
      <c r="R62" s="4"/>
      <c r="S62" s="4"/>
      <c r="T62" s="3"/>
    </row>
    <row r="63" spans="1:20" ht="19.899999999999999" customHeight="1" x14ac:dyDescent="0.2">
      <c r="A63" s="27" t="s">
        <v>70</v>
      </c>
      <c r="B63" s="24">
        <v>0</v>
      </c>
      <c r="C63" s="24">
        <v>947.15</v>
      </c>
      <c r="D63" s="24">
        <v>2790</v>
      </c>
      <c r="E63" s="24">
        <v>4634</v>
      </c>
      <c r="F63" s="24">
        <v>159.16</v>
      </c>
      <c r="G63" s="24">
        <v>35.729999999999997</v>
      </c>
      <c r="H63" s="146"/>
      <c r="I63" s="24">
        <v>350</v>
      </c>
      <c r="J63" s="101">
        <f t="shared" si="21"/>
        <v>8.7956898964455643</v>
      </c>
      <c r="K63" s="101">
        <f t="shared" si="22"/>
        <v>0</v>
      </c>
      <c r="L63" s="4"/>
      <c r="M63" s="3"/>
      <c r="N63" s="66"/>
      <c r="O63" s="3"/>
      <c r="P63" s="4"/>
      <c r="Q63" s="4"/>
      <c r="R63" s="4"/>
      <c r="S63" s="4"/>
      <c r="T63" s="3"/>
    </row>
    <row r="64" spans="1:20" ht="19.899999999999999" customHeight="1" x14ac:dyDescent="0.2">
      <c r="A64" s="27" t="s">
        <v>71</v>
      </c>
      <c r="B64" s="24">
        <v>193020</v>
      </c>
      <c r="C64" s="24">
        <v>150022.31</v>
      </c>
      <c r="D64" s="24">
        <f>131756-D65</f>
        <v>107189.63</v>
      </c>
      <c r="E64" s="24">
        <f>183067-E65</f>
        <v>161748</v>
      </c>
      <c r="F64" s="24">
        <f>239774.86-F65</f>
        <v>227550.81</v>
      </c>
      <c r="G64" s="24">
        <f>336986.95-G39-33000</f>
        <v>277545.45</v>
      </c>
      <c r="H64" s="146"/>
      <c r="I64" s="24">
        <f>300*I4</f>
        <v>247500</v>
      </c>
      <c r="J64" s="101">
        <f t="shared" si="21"/>
        <v>-0.10825416161569217</v>
      </c>
      <c r="K64" s="101">
        <f t="shared" si="22"/>
        <v>6.2401397878507181E-2</v>
      </c>
      <c r="L64" s="4"/>
      <c r="M64" s="3"/>
      <c r="N64" s="66"/>
      <c r="O64" s="3"/>
      <c r="P64" s="4"/>
      <c r="Q64" s="4"/>
      <c r="R64" s="4"/>
      <c r="S64" s="4"/>
      <c r="T64" s="3"/>
    </row>
    <row r="65" spans="1:20" ht="19.899999999999999" customHeight="1" x14ac:dyDescent="0.2">
      <c r="A65" s="27" t="s">
        <v>72</v>
      </c>
      <c r="B65" s="24">
        <f>B18</f>
        <v>0</v>
      </c>
      <c r="C65" s="24">
        <f>C18</f>
        <v>0</v>
      </c>
      <c r="D65" s="24">
        <f>D18</f>
        <v>24566.37</v>
      </c>
      <c r="E65" s="24">
        <f>E18</f>
        <v>21319</v>
      </c>
      <c r="F65" s="24">
        <f>F18</f>
        <v>12224.049999999997</v>
      </c>
      <c r="G65" s="24">
        <f>G18</f>
        <v>20684.16</v>
      </c>
      <c r="H65" s="146"/>
      <c r="I65" s="24">
        <f>I18</f>
        <v>19700</v>
      </c>
      <c r="J65" s="101">
        <f t="shared" si="21"/>
        <v>-4.7580370679785877E-2</v>
      </c>
      <c r="K65" s="101">
        <f t="shared" si="22"/>
        <v>0</v>
      </c>
      <c r="L65" s="4"/>
      <c r="M65" s="3"/>
      <c r="N65" s="66"/>
      <c r="O65" s="3"/>
      <c r="P65" s="4"/>
      <c r="Q65" s="4"/>
      <c r="R65" s="4"/>
      <c r="S65" s="4"/>
      <c r="T65" s="3"/>
    </row>
    <row r="66" spans="1:20" ht="19.899999999999999" customHeight="1" x14ac:dyDescent="0.2">
      <c r="A66" s="27" t="s">
        <v>73</v>
      </c>
      <c r="B66" s="24">
        <v>25612</v>
      </c>
      <c r="C66" s="24">
        <v>0</v>
      </c>
      <c r="D66" s="24">
        <f>6864.11+6320.97</f>
        <v>13185.08</v>
      </c>
      <c r="E66" s="24">
        <f>3620.71+4412.91</f>
        <v>8033.62</v>
      </c>
      <c r="F66" s="24">
        <v>2653.48</v>
      </c>
      <c r="G66" s="24">
        <f>4563.52+357.35+36.03+660.75</f>
        <v>5617.6500000000005</v>
      </c>
      <c r="H66" s="146"/>
      <c r="I66" s="24">
        <v>10000</v>
      </c>
      <c r="J66" s="101">
        <f t="shared" si="21"/>
        <v>0.78010378005037673</v>
      </c>
      <c r="K66" s="101">
        <f t="shared" si="22"/>
        <v>-0.22342179556317809</v>
      </c>
      <c r="L66" s="4" t="s">
        <v>74</v>
      </c>
      <c r="M66" s="3"/>
      <c r="N66" s="66"/>
      <c r="O66" s="3"/>
      <c r="P66" s="4"/>
      <c r="Q66" s="4"/>
      <c r="R66" s="4"/>
      <c r="S66" s="4"/>
      <c r="T66" s="3"/>
    </row>
    <row r="67" spans="1:20" ht="19.899999999999999" customHeight="1" x14ac:dyDescent="0.25">
      <c r="A67" s="14" t="s">
        <v>75</v>
      </c>
      <c r="B67" s="29">
        <f>SUM(B42:B66)</f>
        <v>466851</v>
      </c>
      <c r="C67" s="29">
        <f>SUM(C42:C66)</f>
        <v>502285.81000000006</v>
      </c>
      <c r="D67" s="29">
        <f>SUM(D42:D66)</f>
        <v>612272.29504367709</v>
      </c>
      <c r="E67" s="29">
        <f>SUM(E42:E66)</f>
        <v>635073.38</v>
      </c>
      <c r="F67" s="29">
        <f>SUM(F42:F66)</f>
        <v>710202.51</v>
      </c>
      <c r="G67" s="29">
        <f>SUM(G42:G66)</f>
        <v>766435.33000000007</v>
      </c>
      <c r="H67" s="146"/>
      <c r="I67" s="29">
        <f>SUM(I42:I66)</f>
        <v>763923.82818437496</v>
      </c>
      <c r="J67" s="97">
        <f t="shared" si="21"/>
        <v>-3.2768607047708996E-3</v>
      </c>
      <c r="K67" s="97">
        <f t="shared" si="22"/>
        <v>8.6132653267475767E-2</v>
      </c>
      <c r="L67" s="4"/>
      <c r="M67" s="3"/>
      <c r="N67" s="65"/>
      <c r="O67" s="3"/>
      <c r="P67" s="4"/>
      <c r="Q67" s="4"/>
      <c r="R67" s="4"/>
      <c r="S67" s="4"/>
      <c r="T67" s="3"/>
    </row>
    <row r="68" spans="1:20" ht="25.15" customHeight="1" x14ac:dyDescent="0.2">
      <c r="A68" s="41" t="s">
        <v>76</v>
      </c>
      <c r="B68" s="42">
        <f>B35+B40+B67</f>
        <v>491626</v>
      </c>
      <c r="C68" s="43">
        <f>C35+C40+C67</f>
        <v>538783.47000000009</v>
      </c>
      <c r="D68" s="42">
        <f>D35+D40+D67</f>
        <v>654495.15504367708</v>
      </c>
      <c r="E68" s="42">
        <f>E35+E40+E67</f>
        <v>672008.19</v>
      </c>
      <c r="F68" s="42">
        <f>F35+F40+F67</f>
        <v>754538.84</v>
      </c>
      <c r="G68" s="42">
        <f>G35+G40+G67</f>
        <v>810159.60000000009</v>
      </c>
      <c r="H68" s="147"/>
      <c r="I68" s="42">
        <f>I35+I40+I67</f>
        <v>815423.82818437496</v>
      </c>
      <c r="J68" s="102">
        <f t="shared" si="21"/>
        <v>6.4977668404779297E-3</v>
      </c>
      <c r="K68" s="102">
        <f t="shared" si="22"/>
        <v>8.6815832808524451E-2</v>
      </c>
      <c r="L68" s="4"/>
      <c r="M68" s="3"/>
      <c r="N68" s="64"/>
      <c r="O68" s="3"/>
      <c r="P68" s="4"/>
      <c r="Q68" s="4"/>
      <c r="R68" s="4"/>
      <c r="S68" s="4"/>
      <c r="T68" s="3"/>
    </row>
    <row r="69" spans="1:20" ht="50.1" customHeight="1" x14ac:dyDescent="0.2">
      <c r="A69" s="69" t="s">
        <v>87</v>
      </c>
      <c r="B69" s="70">
        <f>((B45+B48+B57+B61+B62+B64+B65)+(B52*1)+B41+B40)/B68</f>
        <v>0.91213239332337992</v>
      </c>
      <c r="C69" s="70">
        <f>((C45+C48+C57+C61+C62+C64+C65)+(C52*1)+C41+C40)/C68</f>
        <v>0.93574362999666627</v>
      </c>
      <c r="D69" s="70">
        <f>((D45+D48+D57+D61+D62+D64+D65)+(D52*1)+D41+D40)/D68</f>
        <v>0.89125677257005687</v>
      </c>
      <c r="E69" s="70">
        <f>((E45+E48+E57+E61+E62+E64+E65)+(E52*1)+E41+E40)/E68</f>
        <v>0.89866138387390804</v>
      </c>
      <c r="F69" s="70">
        <f>((F45+F48+F57+F61+F62+F64+F65)+(F52*1)+F41+F40)/F68</f>
        <v>0.91823580612497036</v>
      </c>
      <c r="G69" s="70">
        <f>((G45+G48+G57+G61+G62+G64+G65)+(G52*1)+G41+G40)/G68</f>
        <v>0.92260665676244524</v>
      </c>
      <c r="H69" s="68"/>
      <c r="I69" s="70">
        <f>((I45+I48+I57+I61+I62+I64+I65)+(I52*1)+I41+I40)/I68</f>
        <v>0.88777082583159106</v>
      </c>
      <c r="J69" s="103">
        <f t="shared" si="21"/>
        <v>-3.7758052877157798E-2</v>
      </c>
      <c r="K69" s="103">
        <f t="shared" si="22"/>
        <v>1.9047849127511451E-3</v>
      </c>
      <c r="L69" s="4"/>
      <c r="M69" s="3"/>
      <c r="N69" s="64"/>
      <c r="O69" s="3"/>
      <c r="P69" s="4"/>
      <c r="Q69" s="4"/>
      <c r="R69" s="4"/>
      <c r="S69" s="4"/>
      <c r="T69" s="3"/>
    </row>
    <row r="70" spans="1:20" x14ac:dyDescent="0.2">
      <c r="A70" s="7"/>
      <c r="B70" s="71"/>
      <c r="C70" s="72"/>
      <c r="D70" s="73"/>
      <c r="E70" s="73"/>
      <c r="F70" s="6"/>
      <c r="G70" s="6"/>
      <c r="H70" s="6"/>
      <c r="I70" s="6"/>
      <c r="J70" s="6"/>
      <c r="K70" s="6"/>
      <c r="L70" s="4"/>
      <c r="M70" s="3"/>
      <c r="N70" s="3"/>
      <c r="O70" s="3"/>
      <c r="P70" s="4"/>
      <c r="Q70" s="4"/>
      <c r="R70" s="4"/>
      <c r="S70" s="4"/>
      <c r="T70" s="3"/>
    </row>
    <row r="71" spans="1:20" ht="50.1" customHeight="1" x14ac:dyDescent="0.2">
      <c r="A71" s="74" t="s">
        <v>88</v>
      </c>
      <c r="B71" s="75">
        <f>B52/B68</f>
        <v>0.17191727044541988</v>
      </c>
      <c r="C71" s="75">
        <f>C52/C68</f>
        <v>0.32223522002261867</v>
      </c>
      <c r="D71" s="75">
        <f>D52/D68</f>
        <v>0.41165774555202017</v>
      </c>
      <c r="E71" s="75">
        <f>E52/E68</f>
        <v>0.35671440254321901</v>
      </c>
      <c r="F71" s="75">
        <f>F52/F68</f>
        <v>0.31922763578346747</v>
      </c>
      <c r="G71" s="75">
        <f>G52/G68</f>
        <v>0.31473429432916672</v>
      </c>
      <c r="H71" s="67"/>
      <c r="I71" s="75">
        <f>I52/I68</f>
        <v>0.32364701180933308</v>
      </c>
      <c r="J71" s="104">
        <f>IFERROR((I71-G71)/G71,0)</f>
        <v>2.8318227917180666E-2</v>
      </c>
      <c r="K71" s="104">
        <f>IFERROR((G71/B71)^(1/6)-1,0)</f>
        <v>0.10603981282409936</v>
      </c>
      <c r="L71" s="4"/>
      <c r="M71" s="3"/>
      <c r="N71" s="3"/>
      <c r="O71" s="3"/>
      <c r="P71" s="4"/>
      <c r="Q71" s="4"/>
      <c r="R71" s="4"/>
      <c r="S71" s="4"/>
      <c r="T71" s="3"/>
    </row>
    <row r="72" spans="1:20" s="8" customFormat="1" ht="25.15" customHeight="1" x14ac:dyDescent="0.25">
      <c r="A72" s="46" t="s">
        <v>77</v>
      </c>
      <c r="B72" s="47">
        <f>B28-B68</f>
        <v>12217</v>
      </c>
      <c r="C72" s="47">
        <f>C28-C68</f>
        <v>33160.319999999949</v>
      </c>
      <c r="D72" s="47">
        <f>D28-D68</f>
        <v>133090.6949563229</v>
      </c>
      <c r="E72" s="47">
        <f>E28-E68</f>
        <v>47483.810000000056</v>
      </c>
      <c r="F72" s="47">
        <f>F28-F68</f>
        <v>130802.58000000007</v>
      </c>
      <c r="G72" s="47">
        <f>G28-G68</f>
        <v>43335.589999999967</v>
      </c>
      <c r="H72" s="48"/>
      <c r="I72" s="47">
        <f>I28-I68</f>
        <v>45026.171815625043</v>
      </c>
      <c r="J72" s="105">
        <f>IFERROR((I72-G72)/G72,0)</f>
        <v>3.9011394921012417E-2</v>
      </c>
      <c r="K72" s="105">
        <f>IFERROR((G72/B72)^(1/6)-1,0)</f>
        <v>0.23494236645807742</v>
      </c>
      <c r="L72" s="31"/>
      <c r="M72" s="7"/>
      <c r="N72" s="7"/>
      <c r="O72" s="7"/>
      <c r="P72" s="6"/>
      <c r="Q72" s="6"/>
      <c r="R72" s="6"/>
      <c r="S72" s="6"/>
      <c r="T72" s="7"/>
    </row>
    <row r="73" spans="1:20" s="8" customFormat="1" x14ac:dyDescent="0.2">
      <c r="A73" s="49"/>
      <c r="B73" s="50"/>
      <c r="C73" s="51"/>
      <c r="D73" s="52"/>
      <c r="E73" s="52"/>
      <c r="F73" s="6"/>
      <c r="G73" s="6"/>
      <c r="H73" s="52"/>
      <c r="I73" s="6"/>
      <c r="J73" s="6"/>
      <c r="K73" s="6"/>
      <c r="L73" s="6"/>
      <c r="M73" s="7"/>
      <c r="N73" s="7"/>
      <c r="O73" s="7"/>
      <c r="P73" s="6"/>
      <c r="Q73" s="6"/>
      <c r="R73" s="6"/>
      <c r="S73" s="6"/>
      <c r="T73" s="7"/>
    </row>
    <row r="74" spans="1:20" ht="25.15" customHeight="1" x14ac:dyDescent="0.2">
      <c r="A74" s="46" t="s">
        <v>78</v>
      </c>
      <c r="B74" s="47">
        <f>B72+B65-B20-B18-B41-B46</f>
        <v>12217</v>
      </c>
      <c r="C74" s="47">
        <f>C72+C65-C20-C18-C41-C46</f>
        <v>-18010.680000000051</v>
      </c>
      <c r="D74" s="47">
        <f>D72+D65-D20-D18-D41-D46</f>
        <v>29722.214956322903</v>
      </c>
      <c r="E74" s="47">
        <f>E72+E65-E20-E18-E41-E46</f>
        <v>10931.810000000056</v>
      </c>
      <c r="F74" s="47">
        <f>F72+F65-F20-F18-F41-F46</f>
        <v>84894.790000000066</v>
      </c>
      <c r="G74" s="47">
        <f>G72+G65-G20-G18-G41-G46</f>
        <v>-958.30000000003383</v>
      </c>
      <c r="H74" s="48"/>
      <c r="I74" s="47">
        <f>I72+I65-I20-I18-I41-I46</f>
        <v>906.17181562504265</v>
      </c>
      <c r="J74" s="105">
        <f>IFERROR((I74-G74)/G74,0)</f>
        <v>-1.9456034807732554</v>
      </c>
      <c r="K74" s="105">
        <f>IFERROR((G74/B74)^(1/6)-1,0)</f>
        <v>0</v>
      </c>
      <c r="L74" s="4"/>
      <c r="M74" s="3"/>
      <c r="N74" s="3"/>
      <c r="O74" s="3"/>
      <c r="P74" s="4"/>
      <c r="Q74" s="4"/>
      <c r="R74" s="4"/>
      <c r="S74" s="4"/>
      <c r="T74" s="3"/>
    </row>
    <row r="75" spans="1:20" x14ac:dyDescent="0.2">
      <c r="A75" s="134"/>
      <c r="B75" s="134"/>
      <c r="C75" s="134"/>
    </row>
    <row r="77" spans="1:20" x14ac:dyDescent="0.2">
      <c r="A77" s="134" t="s">
        <v>79</v>
      </c>
      <c r="B77" s="134"/>
      <c r="C77" s="134"/>
      <c r="I77" s="54"/>
    </row>
    <row r="78" spans="1:20" x14ac:dyDescent="0.2">
      <c r="A78" s="134" t="s">
        <v>80</v>
      </c>
      <c r="B78" s="134"/>
      <c r="C78" s="134"/>
    </row>
    <row r="79" spans="1:20" x14ac:dyDescent="0.2">
      <c r="A79" s="135" t="s">
        <v>81</v>
      </c>
      <c r="B79" s="135"/>
      <c r="C79" s="135"/>
    </row>
    <row r="82" spans="3:7" x14ac:dyDescent="0.2">
      <c r="C82" s="55"/>
      <c r="D82" s="55"/>
      <c r="E82" s="55"/>
      <c r="F82" s="55"/>
      <c r="G82" s="55"/>
    </row>
    <row r="83" spans="3:7" x14ac:dyDescent="0.2">
      <c r="F83" s="148"/>
    </row>
  </sheetData>
  <mergeCells count="8">
    <mergeCell ref="A77:C77"/>
    <mergeCell ref="A78:C78"/>
    <mergeCell ref="A79:C79"/>
    <mergeCell ref="A1:K1"/>
    <mergeCell ref="H3:H10"/>
    <mergeCell ref="H12:H28"/>
    <mergeCell ref="H31:H68"/>
    <mergeCell ref="A75:C75"/>
  </mergeCells>
  <printOptions horizontalCentered="1"/>
  <pageMargins left="0.2" right="0.2" top="0.5" bottom="0.25" header="0.3" footer="0.3"/>
  <pageSetup paperSize="5" scale="57" orientation="portrait" r:id="rId1"/>
  <headerFooter>
    <oddHeader>&amp;L&amp;D   &amp;RProverbs 12:10 Animal Rescue</oddHeader>
    <oddFooter>&amp;F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7FF27197FC4754BA8321E353075C73E" ma:contentTypeVersion="12" ma:contentTypeDescription="Create a new document." ma:contentTypeScope="" ma:versionID="b4a29723c2a8cbbd8dd86f98afe1db1c">
  <xsd:schema xmlns:xsd="http://www.w3.org/2001/XMLSchema" xmlns:xs="http://www.w3.org/2001/XMLSchema" xmlns:p="http://schemas.microsoft.com/office/2006/metadata/properties" xmlns:ns3="13b098e3-28aa-4995-99e1-8e73efd60e52" xmlns:ns4="65d7cc7f-b48d-4219-827f-770099dc6125" targetNamespace="http://schemas.microsoft.com/office/2006/metadata/properties" ma:root="true" ma:fieldsID="8d44c98cdc0789605ae4cb15527f103e" ns3:_="" ns4:_="">
    <xsd:import namespace="13b098e3-28aa-4995-99e1-8e73efd60e52"/>
    <xsd:import namespace="65d7cc7f-b48d-4219-827f-770099dc612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AutoKeyPoints" minOccurs="0"/>
                <xsd:element ref="ns3:MediaServiceKeyPoints" minOccurs="0"/>
                <xsd:element ref="ns3:MediaServiceDateTake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b098e3-28aa-4995-99e1-8e73efd60e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d7cc7f-b48d-4219-827f-770099dc612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536CB1-FD8C-4679-9816-FFF4A5F85D66}">
  <ds:schemaRefs>
    <ds:schemaRef ds:uri="http://schemas.microsoft.com/sharepoint/v3/contenttype/forms"/>
  </ds:schemaRefs>
</ds:datastoreItem>
</file>

<file path=customXml/itemProps2.xml><?xml version="1.0" encoding="utf-8"?>
<ds:datastoreItem xmlns:ds="http://schemas.openxmlformats.org/officeDocument/2006/customXml" ds:itemID="{6120861A-B225-49F5-B2D3-ED185D6E79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b098e3-28aa-4995-99e1-8e73efd60e52"/>
    <ds:schemaRef ds:uri="65d7cc7f-b48d-4219-827f-770099dc61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E48F68-8AA7-40EA-A309-B60B07CA70C7}">
  <ds:schemaRefs>
    <ds:schemaRef ds:uri="http://www.w3.org/XML/1998/namespace"/>
    <ds:schemaRef ds:uri="http://schemas.microsoft.com/office/2006/metadata/properties"/>
    <ds:schemaRef ds:uri="13b098e3-28aa-4995-99e1-8e73efd60e52"/>
    <ds:schemaRef ds:uri="http://schemas.microsoft.com/office/2006/documentManagement/types"/>
    <ds:schemaRef ds:uri="http://purl.org/dc/terms/"/>
    <ds:schemaRef ds:uri="http://schemas.microsoft.com/office/infopath/2007/PartnerControls"/>
    <ds:schemaRef ds:uri="http://purl.org/dc/elements/1.1/"/>
    <ds:schemaRef ds:uri="http://schemas.openxmlformats.org/package/2006/metadata/core-properties"/>
    <ds:schemaRef ds:uri="65d7cc7f-b48d-4219-827f-770099dc612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Budget Update Summary</vt:lpstr>
      <vt:lpstr>2020 Budget Proposal Detail</vt:lpstr>
      <vt:lpstr>Budget vs Actual w History</vt:lpstr>
      <vt:lpstr>'Budget Update Summary'!Print_Area</vt:lpstr>
      <vt:lpstr>'Budget vs Actual w History'!Print_Area</vt:lpstr>
    </vt:vector>
  </TitlesOfParts>
  <Company>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Toney Charlie</dc:creator>
  <cp:lastModifiedBy>Toney Charlie</cp:lastModifiedBy>
  <cp:lastPrinted>2020-07-12T16:35:03Z</cp:lastPrinted>
  <dcterms:created xsi:type="dcterms:W3CDTF">2019-11-06T23:11:29Z</dcterms:created>
  <dcterms:modified xsi:type="dcterms:W3CDTF">2021-03-22T22:00:50Z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0x01010017FF27197FC4754BA8321E353075C73E</vt:lpwstr>
  </property>
</Properties>
</file>