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elcourttheatrerestore/Documents/Stephanie/Financials/Budgets/Budget 2021/"/>
    </mc:Choice>
  </mc:AlternateContent>
  <xr:revisionPtr revIDLastSave="0" documentId="13_ncr:1_{411738D9-1F46-8443-AB83-9B55971E7614}" xr6:coauthVersionLast="47" xr6:coauthVersionMax="47" xr10:uidLastSave="{00000000-0000-0000-0000-000000000000}"/>
  <bookViews>
    <workbookView xWindow="3120" yWindow="500" windowWidth="20500" windowHeight="17500" tabRatio="500" xr2:uid="{00000000-000D-0000-FFFF-FFFF00000000}"/>
  </bookViews>
  <sheets>
    <sheet name="Sheet1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6" i="1" l="1"/>
  <c r="G106" i="1" s="1"/>
  <c r="F130" i="1"/>
  <c r="F100" i="1"/>
  <c r="F53" i="1"/>
  <c r="F11" i="1"/>
  <c r="E117" i="1"/>
  <c r="E109" i="1"/>
  <c r="E100" i="1"/>
  <c r="E86" i="1"/>
  <c r="E46" i="1"/>
  <c r="E74" i="1"/>
  <c r="E58" i="1"/>
  <c r="E59" i="1"/>
  <c r="E80" i="1"/>
  <c r="E11" i="1"/>
  <c r="G50" i="1"/>
  <c r="E16" i="1" l="1"/>
  <c r="E77" i="1" l="1"/>
  <c r="F85" i="1" l="1"/>
  <c r="F69" i="1"/>
  <c r="F57" i="1"/>
  <c r="F45" i="1"/>
  <c r="G67" i="1" l="1"/>
  <c r="E22" i="1" l="1"/>
  <c r="G111" i="1" l="1"/>
  <c r="F22" i="1"/>
  <c r="F10" i="1" s="1"/>
  <c r="F98" i="1"/>
  <c r="F102" i="1"/>
  <c r="F108" i="1"/>
  <c r="F30" i="1"/>
  <c r="G30" i="1" s="1"/>
  <c r="F41" i="1"/>
  <c r="F68" i="1"/>
  <c r="F63" i="1" s="1"/>
  <c r="F78" i="1"/>
  <c r="G78" i="1" s="1"/>
  <c r="F79" i="1"/>
  <c r="E98" i="1"/>
  <c r="E102" i="1"/>
  <c r="E108" i="1"/>
  <c r="E8" i="1"/>
  <c r="E14" i="1"/>
  <c r="E21" i="1"/>
  <c r="E33" i="1"/>
  <c r="E31" i="1" s="1"/>
  <c r="E41" i="1"/>
  <c r="G46" i="1"/>
  <c r="E45" i="1"/>
  <c r="E51" i="1"/>
  <c r="E57" i="1"/>
  <c r="G57" i="1" s="1"/>
  <c r="E63" i="1"/>
  <c r="G73" i="1"/>
  <c r="E69" i="1"/>
  <c r="E76" i="1"/>
  <c r="E85" i="1"/>
  <c r="E118" i="1"/>
  <c r="G115" i="1"/>
  <c r="G117" i="1"/>
  <c r="G107" i="1"/>
  <c r="G109" i="1"/>
  <c r="G110" i="1"/>
  <c r="G105" i="1"/>
  <c r="G104" i="1"/>
  <c r="G103" i="1"/>
  <c r="G101" i="1"/>
  <c r="G100" i="1"/>
  <c r="G99" i="1"/>
  <c r="G9" i="1"/>
  <c r="G12" i="1"/>
  <c r="G13" i="1"/>
  <c r="G26" i="1"/>
  <c r="G39" i="1"/>
  <c r="G40" i="1"/>
  <c r="G55" i="1"/>
  <c r="G56" i="1"/>
  <c r="G62" i="1"/>
  <c r="G70" i="1"/>
  <c r="G71" i="1"/>
  <c r="G72" i="1"/>
  <c r="G74" i="1"/>
  <c r="G75" i="1"/>
  <c r="G84" i="1"/>
  <c r="G86" i="1"/>
  <c r="G87" i="1"/>
  <c r="G88" i="1"/>
  <c r="G89" i="1"/>
  <c r="G90" i="1"/>
  <c r="G91" i="1"/>
  <c r="G83" i="1"/>
  <c r="G82" i="1"/>
  <c r="G81" i="1"/>
  <c r="G80" i="1"/>
  <c r="G66" i="1"/>
  <c r="G64" i="1"/>
  <c r="G61" i="1"/>
  <c r="G60" i="1"/>
  <c r="G59" i="1"/>
  <c r="G58" i="1"/>
  <c r="G54" i="1"/>
  <c r="G52" i="1"/>
  <c r="G49" i="1"/>
  <c r="G48" i="1"/>
  <c r="G47" i="1"/>
  <c r="G44" i="1"/>
  <c r="G43" i="1"/>
  <c r="G42" i="1"/>
  <c r="G38" i="1"/>
  <c r="G25" i="1"/>
  <c r="G24" i="1"/>
  <c r="G23" i="1"/>
  <c r="G20" i="1"/>
  <c r="E112" i="1" l="1"/>
  <c r="F112" i="1"/>
  <c r="F77" i="1"/>
  <c r="F76" i="1" s="1"/>
  <c r="G76" i="1" s="1"/>
  <c r="G63" i="1"/>
  <c r="G22" i="1"/>
  <c r="G11" i="1"/>
  <c r="F116" i="1"/>
  <c r="G65" i="1"/>
  <c r="G108" i="1"/>
  <c r="G102" i="1"/>
  <c r="G98" i="1"/>
  <c r="G45" i="1"/>
  <c r="G41" i="1"/>
  <c r="F21" i="1"/>
  <c r="G21" i="1" s="1"/>
  <c r="G85" i="1"/>
  <c r="G69" i="1"/>
  <c r="E92" i="1"/>
  <c r="E124" i="1" s="1"/>
  <c r="E27" i="1"/>
  <c r="G68" i="1"/>
  <c r="G79" i="1"/>
  <c r="G77" i="1" s="1"/>
  <c r="G116" i="1" l="1"/>
  <c r="G118" i="1" s="1"/>
  <c r="F118" i="1"/>
  <c r="F120" i="1" s="1"/>
  <c r="G10" i="1"/>
  <c r="G8" i="1" s="1"/>
  <c r="G112" i="1"/>
  <c r="F8" i="1"/>
  <c r="E94" i="1"/>
  <c r="E123" i="1"/>
  <c r="E125" i="1" s="1"/>
  <c r="E120" i="1"/>
  <c r="F15" i="1" l="1"/>
  <c r="F19" i="1"/>
  <c r="F36" i="1" s="1"/>
  <c r="G36" i="1" s="1"/>
  <c r="F18" i="1"/>
  <c r="G18" i="1" s="1"/>
  <c r="F17" i="1"/>
  <c r="F34" i="1" s="1"/>
  <c r="F32" i="1" l="1"/>
  <c r="G15" i="1"/>
  <c r="F16" i="1"/>
  <c r="G16" i="1" s="1"/>
  <c r="G19" i="1"/>
  <c r="F37" i="1"/>
  <c r="G37" i="1" s="1"/>
  <c r="F35" i="1"/>
  <c r="G35" i="1" s="1"/>
  <c r="G17" i="1"/>
  <c r="G34" i="1"/>
  <c r="G32" i="1" l="1"/>
  <c r="F14" i="1"/>
  <c r="F27" i="1" s="1"/>
  <c r="F123" i="1" s="1"/>
  <c r="F33" i="1"/>
  <c r="F31" i="1" s="1"/>
  <c r="G33" i="1"/>
  <c r="F51" i="1" l="1"/>
  <c r="G14" i="1"/>
  <c r="G27" i="1" s="1"/>
  <c r="F92" i="1" l="1"/>
  <c r="G51" i="1"/>
  <c r="G53" i="1"/>
  <c r="F124" i="1" l="1"/>
  <c r="F94" i="1"/>
  <c r="G31" i="1"/>
  <c r="G92" i="1" s="1"/>
  <c r="G94" i="1" s="1"/>
  <c r="F125" i="1" l="1"/>
</calcChain>
</file>

<file path=xl/sharedStrings.xml><?xml version="1.0" encoding="utf-8"?>
<sst xmlns="http://schemas.openxmlformats.org/spreadsheetml/2006/main" count="157" uniqueCount="134">
  <si>
    <t>BELCOURT THEATRE</t>
  </si>
  <si>
    <t xml:space="preserve">Budget </t>
  </si>
  <si>
    <t>Variance</t>
  </si>
  <si>
    <t>Notes</t>
  </si>
  <si>
    <t>OPERATIONS</t>
  </si>
  <si>
    <t>Revenue</t>
  </si>
  <si>
    <t>A</t>
  </si>
  <si>
    <t>Programming:</t>
  </si>
  <si>
    <t>B</t>
  </si>
  <si>
    <t>Film</t>
  </si>
  <si>
    <t>D</t>
  </si>
  <si>
    <t>Presevation Fees</t>
  </si>
  <si>
    <t>Rent: Programming (L)</t>
  </si>
  <si>
    <t>Service Fees</t>
  </si>
  <si>
    <t>T</t>
  </si>
  <si>
    <t>Education</t>
    <phoneticPr fontId="0" type="noConversion"/>
  </si>
  <si>
    <t>E</t>
  </si>
  <si>
    <t>Events/Other</t>
  </si>
  <si>
    <t>F</t>
  </si>
  <si>
    <t>Concessions:</t>
  </si>
  <si>
    <t>G</t>
  </si>
  <si>
    <t>Food</t>
  </si>
  <si>
    <t>Programming (A)</t>
  </si>
  <si>
    <t>Beverage:</t>
  </si>
  <si>
    <t>H</t>
  </si>
  <si>
    <t>Non-Alcoholic</t>
  </si>
  <si>
    <t>I</t>
  </si>
  <si>
    <t>Beer</t>
  </si>
  <si>
    <t>J</t>
  </si>
  <si>
    <t>K</t>
  </si>
  <si>
    <t>Merchandise</t>
  </si>
  <si>
    <t>Rent:</t>
  </si>
  <si>
    <t>L</t>
  </si>
  <si>
    <t>M</t>
  </si>
  <si>
    <t>Rent</t>
  </si>
  <si>
    <t>In-House Services</t>
  </si>
  <si>
    <t>Parking</t>
  </si>
  <si>
    <t>Miscellaneous</t>
  </si>
  <si>
    <t>Expenses</t>
  </si>
  <si>
    <t>Box Office</t>
  </si>
  <si>
    <t>Food (G)</t>
  </si>
  <si>
    <t>Non-Alcoholic (H)</t>
  </si>
  <si>
    <t>Beer (I)</t>
  </si>
  <si>
    <t>Liquor (J)</t>
  </si>
  <si>
    <t>Supplies</t>
  </si>
  <si>
    <t>Concessions (G, H, I ,J)</t>
  </si>
  <si>
    <t>Depreciation</t>
  </si>
  <si>
    <t>Dues &amp; Subscriptions</t>
  </si>
  <si>
    <t>Equipment:</t>
  </si>
  <si>
    <t>Purchased</t>
  </si>
  <si>
    <t>Rental</t>
  </si>
  <si>
    <t>Repairs &amp; Maintenance</t>
  </si>
  <si>
    <t>Facility:</t>
  </si>
  <si>
    <t>Janitorial</t>
  </si>
  <si>
    <t>Materials</t>
  </si>
  <si>
    <t>Pest Control</t>
  </si>
  <si>
    <t>Storage</t>
  </si>
  <si>
    <t>Financial:</t>
  </si>
  <si>
    <t>Bank</t>
  </si>
  <si>
    <t>Credit Cards</t>
  </si>
  <si>
    <t>Prog, Conc, Memb (A, F, U)</t>
  </si>
  <si>
    <t>Interest &amp; Penalties</t>
  </si>
  <si>
    <t>Insurance</t>
  </si>
  <si>
    <t>Marketing:</t>
  </si>
  <si>
    <t>Newspapers &amp; Radio</t>
  </si>
  <si>
    <t>Printing &amp; Mailing</t>
  </si>
  <si>
    <t>Website</t>
  </si>
  <si>
    <t>Other</t>
  </si>
  <si>
    <t>Office</t>
  </si>
  <si>
    <t>Payroll:</t>
  </si>
  <si>
    <t>R</t>
  </si>
  <si>
    <t>Salary</t>
  </si>
  <si>
    <t>S</t>
  </si>
  <si>
    <t>Hourly</t>
  </si>
  <si>
    <t>Programming: Film (B)</t>
  </si>
  <si>
    <t>Benefits</t>
  </si>
  <si>
    <t>Payroll Taxes</t>
  </si>
  <si>
    <t>Payroll (R, S)</t>
  </si>
  <si>
    <t>Professional Service:</t>
  </si>
  <si>
    <t>Accounting</t>
  </si>
  <si>
    <t>Marketing &amp; PR</t>
  </si>
  <si>
    <t>Education</t>
  </si>
  <si>
    <t>Payroll Service</t>
  </si>
  <si>
    <t>Film:</t>
  </si>
  <si>
    <t>Delivery</t>
  </si>
  <si>
    <t>Distributor</t>
  </si>
  <si>
    <t>Misc</t>
  </si>
  <si>
    <t>Promotion</t>
  </si>
  <si>
    <t>Travel, Meals &amp; Entertainment</t>
  </si>
  <si>
    <t>Utilities:</t>
  </si>
  <si>
    <t>Electric</t>
  </si>
  <si>
    <t>Gas</t>
  </si>
  <si>
    <t>Telephone</t>
  </si>
  <si>
    <t>Internet</t>
  </si>
  <si>
    <t>Water</t>
  </si>
  <si>
    <t>Operations</t>
  </si>
  <si>
    <t>FUNDRAISING</t>
  </si>
  <si>
    <t>Events:</t>
  </si>
  <si>
    <t>Red Carpet Sponsorships</t>
  </si>
  <si>
    <t>Contributions:</t>
  </si>
  <si>
    <t>Contribs/Sponsorships</t>
  </si>
  <si>
    <t>Capital Campaign</t>
  </si>
  <si>
    <t>Annual Campaign</t>
  </si>
  <si>
    <t>Grants</t>
  </si>
  <si>
    <t>U</t>
  </si>
  <si>
    <t>Memberships</t>
  </si>
  <si>
    <t>Standard Memberships</t>
  </si>
  <si>
    <t>Hillsboro Society</t>
  </si>
  <si>
    <t>Membership</t>
  </si>
  <si>
    <t>Membership (U)</t>
  </si>
  <si>
    <t>Fundraising</t>
  </si>
  <si>
    <t>Totals:</t>
  </si>
  <si>
    <t>Percentage</t>
  </si>
  <si>
    <t>Staff Development</t>
  </si>
  <si>
    <t>Red Carpet Auction</t>
  </si>
  <si>
    <t>Red Carpet Contribs &amp; Tickets</t>
  </si>
  <si>
    <t>Red Carpet Evening</t>
  </si>
  <si>
    <t>Wine &amp; Liquor</t>
  </si>
  <si>
    <t>Licenses &amp; Permits</t>
  </si>
  <si>
    <t>Programming (B, C, D, T, E)</t>
  </si>
  <si>
    <t>Bonus Pool</t>
  </si>
  <si>
    <t>Acutal</t>
  </si>
  <si>
    <t>Programming (B, C, T)</t>
  </si>
  <si>
    <t>Estimate '20 (B)</t>
  </si>
  <si>
    <t>2021 Operating Budget, draft</t>
  </si>
  <si>
    <t>Trash &amp; Recycling</t>
  </si>
  <si>
    <t>Covid Related Funding</t>
  </si>
  <si>
    <t>Addl expected Covid Related funds</t>
  </si>
  <si>
    <t>SVOG Supplemental Grant</t>
  </si>
  <si>
    <t>Employee Renention Tax Credit</t>
  </si>
  <si>
    <t>Total</t>
  </si>
  <si>
    <t>Mortage payment: 2866 (prin) + 5041 (inst) = 7907 monthly</t>
  </si>
  <si>
    <t>%</t>
  </si>
  <si>
    <t>For 2021 includes PPP, SVOG, ERTC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</si>
</sst>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13" x14ac:knownFonts="1">
    <font>
      <sz val="12"/>
      <color theme="1"/>
      <name val="Calibri"/>
      <family val="2"/>
      <charset val="128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10"/>
      <name val="Arial"/>
      <family val="2"/>
    </font>
    <font>
      <sz val="10"/>
      <color rgb="FF1A1FC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37" fontId="1" fillId="0" borderId="0" xfId="0" applyNumberFormat="1" applyFont="1" applyBorder="1"/>
    <xf numFmtId="0" fontId="2" fillId="0" borderId="0" xfId="0" applyFont="1" applyBorder="1"/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wrapText="1"/>
    </xf>
    <xf numFmtId="10" fontId="1" fillId="0" borderId="0" xfId="0" applyNumberFormat="1" applyFont="1" applyBorder="1"/>
    <xf numFmtId="37" fontId="1" fillId="0" borderId="1" xfId="0" applyNumberFormat="1" applyFont="1" applyBorder="1"/>
    <xf numFmtId="37" fontId="4" fillId="0" borderId="2" xfId="0" applyNumberFormat="1" applyFont="1" applyBorder="1" applyAlignment="1">
      <alignment horizontal="right"/>
    </xf>
    <xf numFmtId="37" fontId="4" fillId="0" borderId="2" xfId="0" applyNumberFormat="1" applyFont="1" applyFill="1" applyBorder="1"/>
    <xf numFmtId="37" fontId="3" fillId="0" borderId="2" xfId="0" applyNumberFormat="1" applyFont="1" applyFill="1" applyBorder="1"/>
    <xf numFmtId="37" fontId="1" fillId="0" borderId="2" xfId="0" applyNumberFormat="1" applyFont="1" applyBorder="1"/>
    <xf numFmtId="37" fontId="1" fillId="0" borderId="2" xfId="0" applyNumberFormat="1" applyFont="1" applyFill="1" applyBorder="1"/>
    <xf numFmtId="37" fontId="4" fillId="0" borderId="2" xfId="0" applyNumberFormat="1" applyFont="1" applyBorder="1"/>
    <xf numFmtId="0" fontId="1" fillId="0" borderId="0" xfId="0" applyFont="1" applyFill="1" applyBorder="1"/>
    <xf numFmtId="37" fontId="5" fillId="0" borderId="2" xfId="0" applyNumberFormat="1" applyFont="1" applyBorder="1"/>
    <xf numFmtId="37" fontId="5" fillId="0" borderId="2" xfId="0" applyNumberFormat="1" applyFont="1" applyFill="1" applyBorder="1"/>
    <xf numFmtId="37" fontId="1" fillId="0" borderId="3" xfId="0" applyNumberFormat="1" applyFont="1" applyBorder="1"/>
    <xf numFmtId="37" fontId="1" fillId="0" borderId="4" xfId="0" applyNumberFormat="1" applyFont="1" applyBorder="1"/>
    <xf numFmtId="37" fontId="4" fillId="0" borderId="1" xfId="0" applyNumberFormat="1" applyFont="1" applyBorder="1"/>
    <xf numFmtId="37" fontId="5" fillId="0" borderId="1" xfId="0" applyNumberFormat="1" applyFont="1" applyBorder="1"/>
    <xf numFmtId="37" fontId="4" fillId="0" borderId="1" xfId="0" applyNumberFormat="1" applyFont="1" applyFill="1" applyBorder="1"/>
    <xf numFmtId="37" fontId="3" fillId="0" borderId="1" xfId="0" applyNumberFormat="1" applyFont="1" applyFill="1" applyBorder="1"/>
    <xf numFmtId="37" fontId="3" fillId="0" borderId="1" xfId="0" applyNumberFormat="1" applyFont="1" applyBorder="1"/>
    <xf numFmtId="0" fontId="1" fillId="0" borderId="2" xfId="0" applyFont="1" applyBorder="1"/>
    <xf numFmtId="37" fontId="5" fillId="0" borderId="1" xfId="0" applyNumberFormat="1" applyFont="1" applyFill="1" applyBorder="1"/>
    <xf numFmtId="37" fontId="6" fillId="0" borderId="0" xfId="0" applyNumberFormat="1" applyFont="1" applyBorder="1"/>
    <xf numFmtId="37" fontId="1" fillId="0" borderId="1" xfId="0" applyNumberFormat="1" applyFont="1" applyFill="1" applyBorder="1"/>
    <xf numFmtId="164" fontId="1" fillId="0" borderId="5" xfId="0" applyNumberFormat="1" applyFont="1" applyBorder="1" applyAlignment="1">
      <alignment horizontal="center"/>
    </xf>
    <xf numFmtId="164" fontId="1" fillId="0" borderId="5" xfId="0" applyNumberFormat="1" applyFont="1" applyFill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37" fontId="7" fillId="0" borderId="2" xfId="0" applyNumberFormat="1" applyFont="1" applyBorder="1"/>
    <xf numFmtId="0" fontId="7" fillId="0" borderId="0" xfId="0" applyFont="1" applyBorder="1"/>
    <xf numFmtId="0" fontId="7" fillId="0" borderId="0" xfId="0" applyFont="1"/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37" fontId="7" fillId="0" borderId="2" xfId="0" applyNumberFormat="1" applyFont="1" applyFill="1" applyBorder="1"/>
    <xf numFmtId="37" fontId="7" fillId="0" borderId="1" xfId="0" applyNumberFormat="1" applyFont="1" applyFill="1" applyBorder="1"/>
    <xf numFmtId="37" fontId="7" fillId="0" borderId="1" xfId="0" applyNumberFormat="1" applyFont="1" applyBorder="1"/>
    <xf numFmtId="37" fontId="7" fillId="0" borderId="3" xfId="0" applyNumberFormat="1" applyFont="1" applyBorder="1"/>
    <xf numFmtId="0" fontId="1" fillId="0" borderId="0" xfId="0" applyFont="1" applyBorder="1"/>
    <xf numFmtId="37" fontId="10" fillId="0" borderId="2" xfId="0" applyNumberFormat="1" applyFont="1" applyBorder="1"/>
    <xf numFmtId="37" fontId="11" fillId="0" borderId="2" xfId="0" applyNumberFormat="1" applyFont="1" applyFill="1" applyBorder="1"/>
    <xf numFmtId="37" fontId="12" fillId="0" borderId="2" xfId="0" applyNumberFormat="1" applyFont="1" applyFill="1" applyBorder="1"/>
    <xf numFmtId="37" fontId="12" fillId="0" borderId="2" xfId="0" applyNumberFormat="1" applyFont="1" applyBorder="1"/>
    <xf numFmtId="37" fontId="5" fillId="0" borderId="0" xfId="0" applyNumberFormat="1" applyFont="1" applyFill="1"/>
    <xf numFmtId="1" fontId="7" fillId="0" borderId="5" xfId="0" applyNumberFormat="1" applyFont="1" applyFill="1" applyBorder="1" applyAlignment="1">
      <alignment horizontal="center" wrapText="1"/>
    </xf>
    <xf numFmtId="10" fontId="10" fillId="0" borderId="0" xfId="0" applyNumberFormat="1" applyFont="1" applyBorder="1"/>
    <xf numFmtId="10" fontId="1" fillId="0" borderId="0" xfId="0" applyNumberFormat="1" applyFont="1" applyFill="1" applyBorder="1"/>
    <xf numFmtId="0" fontId="1" fillId="0" borderId="0" xfId="0" applyFont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3" fontId="7" fillId="0" borderId="0" xfId="0" applyNumberFormat="1" applyFont="1"/>
    <xf numFmtId="0" fontId="7" fillId="0" borderId="6" xfId="0" applyFont="1" applyBorder="1"/>
    <xf numFmtId="3" fontId="7" fillId="0" borderId="6" xfId="0" applyNumberFormat="1" applyFont="1" applyBorder="1"/>
    <xf numFmtId="0" fontId="1" fillId="0" borderId="0" xfId="0" applyFont="1" applyBorder="1"/>
    <xf numFmtId="0" fontId="2" fillId="0" borderId="0" xfId="0" applyFont="1" applyBorder="1"/>
    <xf numFmtId="0" fontId="7" fillId="0" borderId="0" xfId="0" applyFont="1" applyBorder="1"/>
    <xf numFmtId="0" fontId="1" fillId="0" borderId="0" xfId="0" applyFont="1" applyFill="1" applyBorder="1"/>
    <xf numFmtId="0" fontId="7" fillId="0" borderId="0" xfId="0" applyFont="1" applyFill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mruColors>
      <color rgb="FF1A1FC2"/>
      <color rgb="FF0087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0"/>
  <sheetViews>
    <sheetView tabSelected="1" topLeftCell="A87" zoomScale="110" zoomScaleNormal="110" workbookViewId="0">
      <selection activeCell="H110" sqref="H110"/>
    </sheetView>
  </sheetViews>
  <sheetFormatPr baseColWidth="10" defaultRowHeight="13" x14ac:dyDescent="0.15"/>
  <cols>
    <col min="1" max="1" width="3.6640625" style="34" customWidth="1"/>
    <col min="2" max="3" width="2.1640625" style="34" customWidth="1"/>
    <col min="4" max="4" width="24.33203125" style="34" customWidth="1"/>
    <col min="5" max="5" width="10.1640625" style="34" bestFit="1" customWidth="1"/>
    <col min="6" max="6" width="13.33203125" style="34" customWidth="1"/>
    <col min="7" max="7" width="10.83203125" style="34"/>
    <col min="8" max="8" width="29.1640625" style="34" customWidth="1"/>
    <col min="9" max="16384" width="10.83203125" style="34"/>
  </cols>
  <sheetData>
    <row r="1" spans="1:9" x14ac:dyDescent="0.15">
      <c r="A1" s="1"/>
      <c r="B1" s="4" t="s">
        <v>0</v>
      </c>
      <c r="C1" s="2"/>
      <c r="D1" s="2"/>
      <c r="E1" s="3"/>
      <c r="F1" s="3"/>
      <c r="G1" s="3"/>
      <c r="H1" s="2"/>
      <c r="I1" s="2"/>
    </row>
    <row r="2" spans="1:9" x14ac:dyDescent="0.15">
      <c r="A2" s="1"/>
      <c r="B2" s="4" t="s">
        <v>124</v>
      </c>
      <c r="C2" s="2"/>
      <c r="D2" s="2"/>
      <c r="E2" s="3"/>
      <c r="F2" s="3"/>
      <c r="G2" s="3"/>
      <c r="H2" s="2"/>
      <c r="I2" s="2"/>
    </row>
    <row r="3" spans="1:9" x14ac:dyDescent="0.15">
      <c r="A3" s="1"/>
      <c r="B3" s="2"/>
      <c r="C3" s="2"/>
      <c r="D3" s="2"/>
      <c r="E3" s="3"/>
      <c r="F3" s="3"/>
      <c r="G3" s="3"/>
      <c r="H3" s="2"/>
      <c r="I3" s="2"/>
    </row>
    <row r="4" spans="1:9" x14ac:dyDescent="0.15">
      <c r="A4" s="5"/>
      <c r="B4" s="5"/>
      <c r="C4" s="5"/>
      <c r="D4" s="5"/>
      <c r="E4" s="35" t="s">
        <v>121</v>
      </c>
      <c r="F4" s="35" t="s">
        <v>1</v>
      </c>
      <c r="G4" s="5"/>
      <c r="H4" s="5"/>
      <c r="I4" s="5"/>
    </row>
    <row r="5" spans="1:9" ht="15" thickBot="1" x14ac:dyDescent="0.2">
      <c r="A5" s="29"/>
      <c r="B5" s="29"/>
      <c r="C5" s="29"/>
      <c r="D5" s="29"/>
      <c r="E5" s="48">
        <v>2020</v>
      </c>
      <c r="F5" s="30">
        <v>20201</v>
      </c>
      <c r="G5" s="30" t="s">
        <v>2</v>
      </c>
      <c r="H5" s="31" t="s">
        <v>3</v>
      </c>
      <c r="I5" s="29" t="s">
        <v>112</v>
      </c>
    </row>
    <row r="6" spans="1:9" x14ac:dyDescent="0.15">
      <c r="A6" s="1"/>
      <c r="B6" s="62" t="s">
        <v>4</v>
      </c>
      <c r="C6" s="62"/>
      <c r="D6" s="62"/>
      <c r="E6" s="3"/>
      <c r="F6" s="3"/>
      <c r="G6" s="3"/>
      <c r="H6" s="6"/>
      <c r="I6" s="7"/>
    </row>
    <row r="7" spans="1:9" x14ac:dyDescent="0.15">
      <c r="A7" s="1"/>
      <c r="B7" s="63" t="s">
        <v>5</v>
      </c>
      <c r="C7" s="63"/>
      <c r="D7" s="63"/>
      <c r="E7" s="3"/>
      <c r="F7" s="3"/>
      <c r="G7" s="3"/>
      <c r="H7" s="3"/>
      <c r="I7" s="7"/>
    </row>
    <row r="8" spans="1:9" x14ac:dyDescent="0.15">
      <c r="A8" s="1" t="s">
        <v>6</v>
      </c>
      <c r="B8" s="64" t="s">
        <v>7</v>
      </c>
      <c r="C8" s="64"/>
      <c r="D8" s="64"/>
      <c r="E8" s="8">
        <f>SUM(E9:E13)</f>
        <v>402884</v>
      </c>
      <c r="F8" s="8">
        <f>SUM(F9:F13)</f>
        <v>427869.5</v>
      </c>
      <c r="G8" s="8">
        <f>SUM(G9:G13)</f>
        <v>24985.5</v>
      </c>
      <c r="H8" s="3"/>
      <c r="I8" s="7"/>
    </row>
    <row r="9" spans="1:9" x14ac:dyDescent="0.15">
      <c r="A9" s="1" t="s">
        <v>8</v>
      </c>
      <c r="B9" s="2"/>
      <c r="C9" s="57" t="s">
        <v>9</v>
      </c>
      <c r="D9" s="57"/>
      <c r="E9" s="10">
        <v>379247</v>
      </c>
      <c r="F9" s="11">
        <v>400000</v>
      </c>
      <c r="G9" s="12">
        <f t="shared" ref="G9:G26" si="0">F9-E9</f>
        <v>20753</v>
      </c>
      <c r="H9" s="32" t="s">
        <v>123</v>
      </c>
      <c r="I9" s="7"/>
    </row>
    <row r="10" spans="1:9" x14ac:dyDescent="0.15">
      <c r="A10" s="1" t="s">
        <v>10</v>
      </c>
      <c r="B10" s="2"/>
      <c r="C10" s="2" t="s">
        <v>11</v>
      </c>
      <c r="D10" s="2"/>
      <c r="E10" s="10">
        <v>1476</v>
      </c>
      <c r="F10" s="10">
        <f>F22*I10</f>
        <v>3740.0000000000005</v>
      </c>
      <c r="G10" s="12">
        <f t="shared" si="0"/>
        <v>2264.0000000000005</v>
      </c>
      <c r="H10" s="43" t="s">
        <v>12</v>
      </c>
      <c r="I10" s="7">
        <v>6.8000000000000005E-2</v>
      </c>
    </row>
    <row r="11" spans="1:9" x14ac:dyDescent="0.15">
      <c r="A11" s="1"/>
      <c r="B11" s="2"/>
      <c r="C11" s="57" t="s">
        <v>13</v>
      </c>
      <c r="D11" s="57"/>
      <c r="E11" s="10">
        <f>20808+509</f>
        <v>21317</v>
      </c>
      <c r="F11" s="14">
        <f>400500*I11</f>
        <v>23629.5</v>
      </c>
      <c r="G11" s="12">
        <f t="shared" si="0"/>
        <v>2312.5</v>
      </c>
      <c r="H11" s="43" t="s">
        <v>122</v>
      </c>
      <c r="I11" s="7">
        <v>5.8999999999999997E-2</v>
      </c>
    </row>
    <row r="12" spans="1:9" x14ac:dyDescent="0.15">
      <c r="A12" s="36" t="s">
        <v>14</v>
      </c>
      <c r="B12" s="2"/>
      <c r="C12" s="2" t="s">
        <v>15</v>
      </c>
      <c r="D12" s="2"/>
      <c r="E12" s="10">
        <v>844</v>
      </c>
      <c r="F12" s="14">
        <v>500</v>
      </c>
      <c r="G12" s="12">
        <f t="shared" si="0"/>
        <v>-344</v>
      </c>
      <c r="H12" s="12"/>
      <c r="I12" s="7"/>
    </row>
    <row r="13" spans="1:9" x14ac:dyDescent="0.15">
      <c r="A13" s="1" t="s">
        <v>16</v>
      </c>
      <c r="B13" s="2"/>
      <c r="C13" s="57" t="s">
        <v>17</v>
      </c>
      <c r="D13" s="57"/>
      <c r="E13" s="10">
        <v>0</v>
      </c>
      <c r="F13" s="11">
        <v>0</v>
      </c>
      <c r="G13" s="12">
        <f t="shared" si="0"/>
        <v>0</v>
      </c>
      <c r="H13" s="12"/>
      <c r="I13" s="7"/>
    </row>
    <row r="14" spans="1:9" x14ac:dyDescent="0.15">
      <c r="A14" s="1" t="s">
        <v>18</v>
      </c>
      <c r="B14" s="61" t="s">
        <v>19</v>
      </c>
      <c r="C14" s="61"/>
      <c r="D14" s="61"/>
      <c r="E14" s="45">
        <f>SUM(E15:E16,E20)</f>
        <v>146002</v>
      </c>
      <c r="F14" s="46">
        <f>F15+F16+F20</f>
        <v>215931.80190000002</v>
      </c>
      <c r="G14" s="12">
        <f t="shared" si="0"/>
        <v>69929.80190000002</v>
      </c>
      <c r="H14" s="12"/>
      <c r="I14" s="7"/>
    </row>
    <row r="15" spans="1:9" x14ac:dyDescent="0.15">
      <c r="A15" s="1" t="s">
        <v>20</v>
      </c>
      <c r="B15" s="15"/>
      <c r="C15" s="60" t="s">
        <v>21</v>
      </c>
      <c r="D15" s="60"/>
      <c r="E15" s="10">
        <v>64553</v>
      </c>
      <c r="F15" s="14">
        <f>F8*I15</f>
        <v>93703.420499999993</v>
      </c>
      <c r="G15" s="12">
        <f t="shared" si="0"/>
        <v>29150.420499999993</v>
      </c>
      <c r="H15" s="12" t="s">
        <v>22</v>
      </c>
      <c r="I15" s="7">
        <v>0.219</v>
      </c>
    </row>
    <row r="16" spans="1:9" x14ac:dyDescent="0.15">
      <c r="A16" s="1"/>
      <c r="B16" s="15"/>
      <c r="C16" s="60" t="s">
        <v>23</v>
      </c>
      <c r="D16" s="60"/>
      <c r="E16" s="44">
        <f>SUM(E17:E19)</f>
        <v>81194</v>
      </c>
      <c r="F16" s="44">
        <f>F17+F18+F19</f>
        <v>122028.38140000001</v>
      </c>
      <c r="G16" s="12">
        <f t="shared" si="0"/>
        <v>40834.381400000013</v>
      </c>
      <c r="H16" s="12"/>
      <c r="I16" s="7"/>
    </row>
    <row r="17" spans="1:9" x14ac:dyDescent="0.15">
      <c r="A17" s="1" t="s">
        <v>24</v>
      </c>
      <c r="B17" s="15"/>
      <c r="C17" s="15"/>
      <c r="D17" s="15" t="s">
        <v>25</v>
      </c>
      <c r="E17" s="17">
        <v>29398</v>
      </c>
      <c r="F17" s="16">
        <f>F8*I17</f>
        <v>43214.819500000005</v>
      </c>
      <c r="G17" s="12">
        <f t="shared" si="0"/>
        <v>13816.819500000005</v>
      </c>
      <c r="H17" s="12" t="s">
        <v>22</v>
      </c>
      <c r="I17" s="7">
        <v>0.10100000000000001</v>
      </c>
    </row>
    <row r="18" spans="1:9" x14ac:dyDescent="0.15">
      <c r="A18" s="1" t="s">
        <v>26</v>
      </c>
      <c r="B18" s="15"/>
      <c r="C18" s="15"/>
      <c r="D18" s="15" t="s">
        <v>27</v>
      </c>
      <c r="E18" s="47">
        <v>26889</v>
      </c>
      <c r="F18" s="16">
        <f>F8*I18</f>
        <v>38037.598550000002</v>
      </c>
      <c r="G18" s="12">
        <f t="shared" si="0"/>
        <v>11148.598550000002</v>
      </c>
      <c r="H18" s="12" t="s">
        <v>22</v>
      </c>
      <c r="I18" s="7">
        <v>8.8900000000000007E-2</v>
      </c>
    </row>
    <row r="19" spans="1:9" x14ac:dyDescent="0.15">
      <c r="A19" s="1" t="s">
        <v>28</v>
      </c>
      <c r="B19" s="15"/>
      <c r="C19" s="15"/>
      <c r="D19" s="37" t="s">
        <v>117</v>
      </c>
      <c r="E19" s="17">
        <v>24907</v>
      </c>
      <c r="F19" s="16">
        <f>F8*I19</f>
        <v>40775.963349999998</v>
      </c>
      <c r="G19" s="12">
        <f t="shared" si="0"/>
        <v>15868.963349999998</v>
      </c>
      <c r="H19" s="12" t="s">
        <v>22</v>
      </c>
      <c r="I19" s="7">
        <v>9.5299999999999996E-2</v>
      </c>
    </row>
    <row r="20" spans="1:9" x14ac:dyDescent="0.15">
      <c r="A20" s="1" t="s">
        <v>29</v>
      </c>
      <c r="B20" s="15"/>
      <c r="C20" s="60" t="s">
        <v>30</v>
      </c>
      <c r="D20" s="60"/>
      <c r="E20" s="10">
        <v>255</v>
      </c>
      <c r="F20" s="14">
        <v>200</v>
      </c>
      <c r="G20" s="12">
        <f t="shared" si="0"/>
        <v>-55</v>
      </c>
      <c r="H20" s="12"/>
      <c r="I20" s="7"/>
    </row>
    <row r="21" spans="1:9" x14ac:dyDescent="0.15">
      <c r="A21" s="1"/>
      <c r="B21" s="60" t="s">
        <v>31</v>
      </c>
      <c r="C21" s="60"/>
      <c r="D21" s="15"/>
      <c r="E21" s="12">
        <f>SUM(E22,E25)</f>
        <v>42409</v>
      </c>
      <c r="F21" s="12">
        <f>F22+F25</f>
        <v>110000</v>
      </c>
      <c r="G21" s="12">
        <f t="shared" si="0"/>
        <v>67591</v>
      </c>
      <c r="H21" s="12"/>
      <c r="I21" s="7"/>
    </row>
    <row r="22" spans="1:9" x14ac:dyDescent="0.15">
      <c r="A22" s="1" t="s">
        <v>32</v>
      </c>
      <c r="B22" s="15"/>
      <c r="C22" s="61" t="s">
        <v>7</v>
      </c>
      <c r="D22" s="61"/>
      <c r="E22" s="14">
        <f>SUM(E23:E24)</f>
        <v>32985</v>
      </c>
      <c r="F22" s="14">
        <f>F23+F24</f>
        <v>55000</v>
      </c>
      <c r="G22" s="12">
        <f t="shared" si="0"/>
        <v>22015</v>
      </c>
      <c r="H22" s="12"/>
      <c r="I22" s="7"/>
    </row>
    <row r="23" spans="1:9" x14ac:dyDescent="0.15">
      <c r="A23" s="1" t="s">
        <v>33</v>
      </c>
      <c r="B23" s="15"/>
      <c r="C23" s="15"/>
      <c r="D23" s="37" t="s">
        <v>34</v>
      </c>
      <c r="E23" s="17">
        <v>30155</v>
      </c>
      <c r="F23" s="17">
        <v>50000</v>
      </c>
      <c r="G23" s="12">
        <f t="shared" si="0"/>
        <v>19845</v>
      </c>
      <c r="H23" s="12"/>
      <c r="I23" s="7"/>
    </row>
    <row r="24" spans="1:9" x14ac:dyDescent="0.15">
      <c r="A24" s="1"/>
      <c r="B24" s="15"/>
      <c r="C24" s="15"/>
      <c r="D24" s="15" t="s">
        <v>35</v>
      </c>
      <c r="E24" s="17">
        <v>2830</v>
      </c>
      <c r="F24" s="17">
        <v>5000</v>
      </c>
      <c r="G24" s="12">
        <f t="shared" si="0"/>
        <v>2170</v>
      </c>
      <c r="H24" s="12"/>
      <c r="I24" s="7" t="s">
        <v>132</v>
      </c>
    </row>
    <row r="25" spans="1:9" x14ac:dyDescent="0.15">
      <c r="A25" s="1"/>
      <c r="B25" s="15"/>
      <c r="C25" s="61" t="s">
        <v>36</v>
      </c>
      <c r="D25" s="60"/>
      <c r="E25" s="10">
        <v>9424</v>
      </c>
      <c r="F25" s="14">
        <v>55000</v>
      </c>
      <c r="G25" s="12">
        <f t="shared" si="0"/>
        <v>45576</v>
      </c>
      <c r="H25" s="12"/>
      <c r="I25" s="7"/>
    </row>
    <row r="26" spans="1:9" x14ac:dyDescent="0.15">
      <c r="A26" s="1"/>
      <c r="B26" s="57" t="s">
        <v>37</v>
      </c>
      <c r="C26" s="57"/>
      <c r="D26" s="57"/>
      <c r="E26" s="38">
        <v>5529</v>
      </c>
      <c r="F26" s="38">
        <v>3000</v>
      </c>
      <c r="G26" s="12">
        <f t="shared" si="0"/>
        <v>-2529</v>
      </c>
      <c r="H26" s="12"/>
      <c r="I26" s="7"/>
    </row>
    <row r="27" spans="1:9" x14ac:dyDescent="0.15">
      <c r="A27" s="1"/>
      <c r="B27" s="2"/>
      <c r="C27" s="2"/>
      <c r="D27" s="2"/>
      <c r="E27" s="19">
        <f>SUM(E8,E14,E21,E26)</f>
        <v>596824</v>
      </c>
      <c r="F27" s="19">
        <f>F8+F14+F21+F26</f>
        <v>756801.30190000008</v>
      </c>
      <c r="G27" s="19">
        <f>G8+G14+G21+G26</f>
        <v>159977.30190000002</v>
      </c>
      <c r="H27" s="12"/>
      <c r="I27" s="7"/>
    </row>
    <row r="28" spans="1:9" x14ac:dyDescent="0.15">
      <c r="A28" s="1"/>
      <c r="B28" s="2"/>
      <c r="C28" s="2"/>
      <c r="D28" s="2"/>
      <c r="E28" s="3"/>
      <c r="F28" s="3"/>
      <c r="G28" s="3"/>
      <c r="H28" s="12"/>
      <c r="I28" s="7"/>
    </row>
    <row r="29" spans="1:9" x14ac:dyDescent="0.15">
      <c r="A29" s="1"/>
      <c r="B29" s="58" t="s">
        <v>38</v>
      </c>
      <c r="C29" s="58"/>
      <c r="D29" s="58"/>
      <c r="E29" s="3"/>
      <c r="F29" s="3"/>
      <c r="G29" s="3"/>
      <c r="H29" s="12"/>
      <c r="I29" s="7"/>
    </row>
    <row r="30" spans="1:9" x14ac:dyDescent="0.15">
      <c r="A30" s="1"/>
      <c r="B30" s="2" t="s">
        <v>39</v>
      </c>
      <c r="C30" s="2"/>
      <c r="D30" s="2"/>
      <c r="E30" s="8">
        <v>36659.040000000001</v>
      </c>
      <c r="F30" s="8">
        <f>F9*I30</f>
        <v>37600</v>
      </c>
      <c r="G30" s="12">
        <f>F30-E30</f>
        <v>940.95999999999913</v>
      </c>
      <c r="H30" s="43" t="s">
        <v>119</v>
      </c>
      <c r="I30" s="7">
        <v>9.4E-2</v>
      </c>
    </row>
    <row r="31" spans="1:9" x14ac:dyDescent="0.15">
      <c r="A31" s="1"/>
      <c r="B31" s="57" t="s">
        <v>19</v>
      </c>
      <c r="C31" s="57"/>
      <c r="D31" s="57"/>
      <c r="E31" s="12">
        <f>SUM(E32:E33,E37:E38)</f>
        <v>62772.57</v>
      </c>
      <c r="F31" s="12">
        <f>F32+F33+F37+F38</f>
        <v>81477.580874750012</v>
      </c>
      <c r="G31" s="12">
        <f>F31-E31</f>
        <v>18705.010874750013</v>
      </c>
      <c r="H31" s="12"/>
      <c r="I31" s="7"/>
    </row>
    <row r="32" spans="1:9" x14ac:dyDescent="0.15">
      <c r="A32" s="1"/>
      <c r="B32" s="2"/>
      <c r="C32" s="57" t="s">
        <v>21</v>
      </c>
      <c r="D32" s="57"/>
      <c r="E32" s="10">
        <v>23544.85</v>
      </c>
      <c r="F32" s="20">
        <f>F15*I32</f>
        <v>29844.539429249999</v>
      </c>
      <c r="G32" s="12">
        <f>F32-E32</f>
        <v>6299.6894292500001</v>
      </c>
      <c r="H32" s="32" t="s">
        <v>40</v>
      </c>
      <c r="I32" s="7">
        <v>0.31850000000000001</v>
      </c>
    </row>
    <row r="33" spans="1:9" x14ac:dyDescent="0.15">
      <c r="A33" s="1"/>
      <c r="B33" s="2"/>
      <c r="C33" s="57" t="s">
        <v>23</v>
      </c>
      <c r="D33" s="57"/>
      <c r="E33" s="14">
        <f t="shared" ref="E33" si="1">SUM(E34:E36)</f>
        <v>30087.660000000003</v>
      </c>
      <c r="F33" s="14">
        <f>F34+F35+F36</f>
        <v>38699.255944800003</v>
      </c>
      <c r="G33" s="12">
        <f>SUM(G34:G36)</f>
        <v>8611.5959448000012</v>
      </c>
      <c r="H33" s="12"/>
      <c r="I33" s="7"/>
    </row>
    <row r="34" spans="1:9" x14ac:dyDescent="0.15">
      <c r="A34" s="1"/>
      <c r="B34" s="2"/>
      <c r="C34" s="2"/>
      <c r="D34" s="2" t="s">
        <v>25</v>
      </c>
      <c r="E34" s="17">
        <v>9316.9</v>
      </c>
      <c r="F34" s="21">
        <f>F17*I34</f>
        <v>9524.5462178000016</v>
      </c>
      <c r="G34" s="12">
        <f t="shared" ref="G34:G48" si="2">F34-E34</f>
        <v>207.64621780000198</v>
      </c>
      <c r="H34" s="12" t="s">
        <v>41</v>
      </c>
      <c r="I34" s="7">
        <v>0.22040000000000001</v>
      </c>
    </row>
    <row r="35" spans="1:9" x14ac:dyDescent="0.15">
      <c r="A35" s="1"/>
      <c r="B35" s="2"/>
      <c r="C35" s="2"/>
      <c r="D35" s="2" t="s">
        <v>27</v>
      </c>
      <c r="E35" s="17">
        <v>8999.2900000000009</v>
      </c>
      <c r="F35" s="21">
        <f>F18*I35</f>
        <v>13883.723470750001</v>
      </c>
      <c r="G35" s="12">
        <f t="shared" si="2"/>
        <v>4884.4334707500002</v>
      </c>
      <c r="H35" s="12" t="s">
        <v>42</v>
      </c>
      <c r="I35" s="7">
        <v>0.36499999999999999</v>
      </c>
    </row>
    <row r="36" spans="1:9" x14ac:dyDescent="0.15">
      <c r="A36" s="1"/>
      <c r="B36" s="2"/>
      <c r="C36" s="2"/>
      <c r="D36" s="33" t="s">
        <v>117</v>
      </c>
      <c r="E36" s="17">
        <v>11771.47</v>
      </c>
      <c r="F36" s="21">
        <f>F19*I36</f>
        <v>15290.986256249998</v>
      </c>
      <c r="G36" s="12">
        <f t="shared" si="2"/>
        <v>3519.5162562499991</v>
      </c>
      <c r="H36" s="12" t="s">
        <v>43</v>
      </c>
      <c r="I36" s="49">
        <v>0.375</v>
      </c>
    </row>
    <row r="37" spans="1:9" x14ac:dyDescent="0.15">
      <c r="A37" s="1"/>
      <c r="B37" s="2"/>
      <c r="C37" s="57" t="s">
        <v>44</v>
      </c>
      <c r="D37" s="57"/>
      <c r="E37" s="10">
        <v>9085.06</v>
      </c>
      <c r="F37" s="20">
        <f>(F15+F17+F18+F19)*I37</f>
        <v>11433.7855007</v>
      </c>
      <c r="G37" s="12">
        <f t="shared" si="2"/>
        <v>2348.7255007000003</v>
      </c>
      <c r="H37" s="12" t="s">
        <v>45</v>
      </c>
      <c r="I37" s="7">
        <v>5.2999999999999999E-2</v>
      </c>
    </row>
    <row r="38" spans="1:9" x14ac:dyDescent="0.15">
      <c r="A38" s="1"/>
      <c r="B38" s="2"/>
      <c r="C38" s="2" t="s">
        <v>30</v>
      </c>
      <c r="D38" s="2"/>
      <c r="E38" s="20">
        <v>55</v>
      </c>
      <c r="F38" s="20">
        <v>1500</v>
      </c>
      <c r="G38" s="12">
        <f t="shared" si="2"/>
        <v>1445</v>
      </c>
      <c r="H38" s="12"/>
      <c r="I38" s="7"/>
    </row>
    <row r="39" spans="1:9" x14ac:dyDescent="0.15">
      <c r="A39" s="1"/>
      <c r="B39" s="57" t="s">
        <v>46</v>
      </c>
      <c r="C39" s="57"/>
      <c r="D39" s="57"/>
      <c r="E39" s="39">
        <v>345792</v>
      </c>
      <c r="F39" s="39">
        <v>345792</v>
      </c>
      <c r="G39" s="12">
        <f t="shared" si="2"/>
        <v>0</v>
      </c>
      <c r="H39" s="2"/>
      <c r="I39" s="7"/>
    </row>
    <row r="40" spans="1:9" x14ac:dyDescent="0.15">
      <c r="A40" s="1"/>
      <c r="B40" s="2" t="s">
        <v>47</v>
      </c>
      <c r="C40" s="2"/>
      <c r="D40" s="2"/>
      <c r="E40" s="8">
        <v>9089.34</v>
      </c>
      <c r="F40" s="39">
        <v>10000</v>
      </c>
      <c r="G40" s="12">
        <f t="shared" si="2"/>
        <v>910.65999999999985</v>
      </c>
      <c r="H40" s="2"/>
      <c r="I40" s="7"/>
    </row>
    <row r="41" spans="1:9" x14ac:dyDescent="0.15">
      <c r="A41" s="1"/>
      <c r="B41" s="57" t="s">
        <v>48</v>
      </c>
      <c r="C41" s="57"/>
      <c r="D41" s="57"/>
      <c r="E41" s="12">
        <f>SUM(E42:E44)</f>
        <v>5388.88</v>
      </c>
      <c r="F41" s="12">
        <f>F42+F43+F44</f>
        <v>26500</v>
      </c>
      <c r="G41" s="12">
        <f t="shared" si="2"/>
        <v>21111.119999999999</v>
      </c>
      <c r="H41" s="2"/>
      <c r="I41" s="7"/>
    </row>
    <row r="42" spans="1:9" x14ac:dyDescent="0.15">
      <c r="A42" s="1"/>
      <c r="B42" s="2"/>
      <c r="C42" s="57" t="s">
        <v>49</v>
      </c>
      <c r="D42" s="57"/>
      <c r="E42" s="22">
        <v>4037.44</v>
      </c>
      <c r="F42" s="23">
        <v>10000</v>
      </c>
      <c r="G42" s="12">
        <f t="shared" si="2"/>
        <v>5962.5599999999995</v>
      </c>
      <c r="H42" s="2"/>
      <c r="I42" s="7"/>
    </row>
    <row r="43" spans="1:9" x14ac:dyDescent="0.15">
      <c r="A43" s="1"/>
      <c r="B43" s="2"/>
      <c r="C43" s="57" t="s">
        <v>50</v>
      </c>
      <c r="D43" s="57"/>
      <c r="E43" s="22">
        <v>1232.7</v>
      </c>
      <c r="F43" s="23">
        <v>15000</v>
      </c>
      <c r="G43" s="12">
        <f t="shared" si="2"/>
        <v>13767.3</v>
      </c>
      <c r="H43" s="2"/>
      <c r="I43" s="7"/>
    </row>
    <row r="44" spans="1:9" x14ac:dyDescent="0.15">
      <c r="A44" s="1"/>
      <c r="B44" s="2"/>
      <c r="C44" s="57" t="s">
        <v>51</v>
      </c>
      <c r="D44" s="57"/>
      <c r="E44" s="22">
        <v>118.74</v>
      </c>
      <c r="F44" s="23">
        <v>1500</v>
      </c>
      <c r="G44" s="12">
        <f t="shared" si="2"/>
        <v>1381.26</v>
      </c>
      <c r="H44" s="2"/>
      <c r="I44" s="7"/>
    </row>
    <row r="45" spans="1:9" x14ac:dyDescent="0.15">
      <c r="A45" s="1"/>
      <c r="B45" s="57" t="s">
        <v>52</v>
      </c>
      <c r="C45" s="57"/>
      <c r="D45" s="57"/>
      <c r="E45" s="13">
        <f t="shared" ref="E45" si="3">SUM(E46:E50)</f>
        <v>38159.149999999994</v>
      </c>
      <c r="F45" s="12">
        <f>F46+F47+F48+F49+F50</f>
        <v>53500</v>
      </c>
      <c r="G45" s="12">
        <f t="shared" si="2"/>
        <v>15340.850000000006</v>
      </c>
      <c r="H45" s="2"/>
      <c r="I45" s="7"/>
    </row>
    <row r="46" spans="1:9" x14ac:dyDescent="0.15">
      <c r="A46" s="1"/>
      <c r="B46" s="2"/>
      <c r="C46" s="57" t="s">
        <v>53</v>
      </c>
      <c r="D46" s="57"/>
      <c r="E46" s="20">
        <f>9079.98+9406.04</f>
        <v>18486.02</v>
      </c>
      <c r="F46" s="23">
        <v>28800</v>
      </c>
      <c r="G46" s="12">
        <f t="shared" si="2"/>
        <v>10313.98</v>
      </c>
      <c r="H46" s="12"/>
      <c r="I46" s="7"/>
    </row>
    <row r="47" spans="1:9" x14ac:dyDescent="0.15">
      <c r="A47" s="1"/>
      <c r="B47" s="2"/>
      <c r="C47" s="57" t="s">
        <v>54</v>
      </c>
      <c r="D47" s="57"/>
      <c r="E47" s="20">
        <v>3271.35</v>
      </c>
      <c r="F47" s="23">
        <v>6000</v>
      </c>
      <c r="G47" s="12">
        <f>F47-E47</f>
        <v>2728.65</v>
      </c>
      <c r="H47" s="12"/>
      <c r="I47" s="7"/>
    </row>
    <row r="48" spans="1:9" x14ac:dyDescent="0.15">
      <c r="A48" s="1"/>
      <c r="B48" s="2"/>
      <c r="C48" s="57" t="s">
        <v>55</v>
      </c>
      <c r="D48" s="57"/>
      <c r="E48" s="20">
        <v>1254.1199999999999</v>
      </c>
      <c r="F48" s="23">
        <v>1300</v>
      </c>
      <c r="G48" s="12">
        <f t="shared" si="2"/>
        <v>45.880000000000109</v>
      </c>
      <c r="H48" s="12"/>
      <c r="I48" s="7"/>
    </row>
    <row r="49" spans="1:9" x14ac:dyDescent="0.15">
      <c r="A49" s="1"/>
      <c r="B49" s="2"/>
      <c r="C49" s="57" t="s">
        <v>51</v>
      </c>
      <c r="D49" s="57"/>
      <c r="E49" s="20">
        <v>12831.66</v>
      </c>
      <c r="F49" s="23">
        <v>15000</v>
      </c>
      <c r="G49" s="12">
        <f>F49-E49</f>
        <v>2168.34</v>
      </c>
      <c r="H49" s="12"/>
      <c r="I49" s="7"/>
    </row>
    <row r="50" spans="1:9" x14ac:dyDescent="0.15">
      <c r="A50" s="1"/>
      <c r="B50" s="2"/>
      <c r="C50" s="2" t="s">
        <v>56</v>
      </c>
      <c r="D50" s="2"/>
      <c r="E50" s="22">
        <v>2316</v>
      </c>
      <c r="F50" s="23">
        <v>2400</v>
      </c>
      <c r="G50" s="12">
        <f>F50-E50</f>
        <v>84</v>
      </c>
      <c r="H50" s="12"/>
      <c r="I50" s="7"/>
    </row>
    <row r="51" spans="1:9" x14ac:dyDescent="0.15">
      <c r="A51" s="1"/>
      <c r="B51" s="60" t="s">
        <v>57</v>
      </c>
      <c r="C51" s="60"/>
      <c r="D51" s="60"/>
      <c r="E51" s="12">
        <f t="shared" ref="E51" si="4">SUM(E52:E54)</f>
        <v>97600.03</v>
      </c>
      <c r="F51" s="12">
        <f>F52+F53+F54</f>
        <v>90970.464000000007</v>
      </c>
      <c r="G51" s="12">
        <f>F51-E51</f>
        <v>-6629.5659999999916</v>
      </c>
      <c r="H51" s="12"/>
      <c r="I51" s="7"/>
    </row>
    <row r="52" spans="1:9" x14ac:dyDescent="0.15">
      <c r="A52" s="1"/>
      <c r="B52" s="2"/>
      <c r="C52" s="57" t="s">
        <v>58</v>
      </c>
      <c r="D52" s="57"/>
      <c r="E52" s="20">
        <v>103.78</v>
      </c>
      <c r="F52" s="23">
        <v>500</v>
      </c>
      <c r="G52" s="12">
        <f t="shared" ref="G52:G56" si="5">F52-E52</f>
        <v>396.22</v>
      </c>
      <c r="H52" s="12"/>
      <c r="I52" s="7"/>
    </row>
    <row r="53" spans="1:9" x14ac:dyDescent="0.15">
      <c r="A53" s="1"/>
      <c r="B53" s="2"/>
      <c r="C53" s="57" t="s">
        <v>59</v>
      </c>
      <c r="D53" s="57"/>
      <c r="E53" s="20">
        <v>34569.56</v>
      </c>
      <c r="F53" s="24">
        <f>952202*I53</f>
        <v>30470.464</v>
      </c>
      <c r="G53" s="12">
        <f t="shared" si="5"/>
        <v>-4099.0959999999977</v>
      </c>
      <c r="H53" s="43" t="s">
        <v>60</v>
      </c>
      <c r="I53" s="7">
        <v>3.2000000000000001E-2</v>
      </c>
    </row>
    <row r="54" spans="1:9" x14ac:dyDescent="0.15">
      <c r="A54" s="1"/>
      <c r="B54" s="2"/>
      <c r="C54" s="57" t="s">
        <v>61</v>
      </c>
      <c r="D54" s="57"/>
      <c r="E54" s="20">
        <v>62926.69</v>
      </c>
      <c r="F54" s="23">
        <v>60000</v>
      </c>
      <c r="G54" s="12">
        <f t="shared" si="5"/>
        <v>-2926.6900000000023</v>
      </c>
      <c r="H54" s="12" t="s">
        <v>131</v>
      </c>
      <c r="I54" s="7"/>
    </row>
    <row r="55" spans="1:9" x14ac:dyDescent="0.15">
      <c r="A55" s="1"/>
      <c r="B55" s="57" t="s">
        <v>62</v>
      </c>
      <c r="C55" s="57"/>
      <c r="D55" s="57"/>
      <c r="E55" s="8">
        <v>31265</v>
      </c>
      <c r="F55" s="39">
        <v>32000</v>
      </c>
      <c r="G55" s="12">
        <f t="shared" si="5"/>
        <v>735</v>
      </c>
      <c r="H55" s="12"/>
      <c r="I55" s="7"/>
    </row>
    <row r="56" spans="1:9" x14ac:dyDescent="0.15">
      <c r="A56" s="1"/>
      <c r="B56" s="59" t="s">
        <v>118</v>
      </c>
      <c r="C56" s="57"/>
      <c r="D56" s="57"/>
      <c r="E56" s="8">
        <v>1883.38</v>
      </c>
      <c r="F56" s="39">
        <v>2000</v>
      </c>
      <c r="G56" s="12">
        <f t="shared" si="5"/>
        <v>116.61999999999989</v>
      </c>
      <c r="H56" s="12"/>
      <c r="I56" s="7"/>
    </row>
    <row r="57" spans="1:9" x14ac:dyDescent="0.15">
      <c r="A57" s="1"/>
      <c r="B57" s="57" t="s">
        <v>63</v>
      </c>
      <c r="C57" s="57"/>
      <c r="D57" s="57"/>
      <c r="E57" s="12">
        <f t="shared" ref="E57" si="6">SUM(E58:E61)</f>
        <v>22405.47</v>
      </c>
      <c r="F57" s="12">
        <f>F58+F59+F60+F61</f>
        <v>87000</v>
      </c>
      <c r="G57" s="12">
        <f>F57-E57</f>
        <v>64594.53</v>
      </c>
      <c r="H57" s="12"/>
      <c r="I57" s="7"/>
    </row>
    <row r="58" spans="1:9" x14ac:dyDescent="0.15">
      <c r="A58" s="1"/>
      <c r="B58" s="2"/>
      <c r="C58" s="57" t="s">
        <v>64</v>
      </c>
      <c r="D58" s="57"/>
      <c r="E58" s="20">
        <f>9461.97+2170</f>
        <v>11631.97</v>
      </c>
      <c r="F58" s="23">
        <v>48000</v>
      </c>
      <c r="G58" s="12">
        <f t="shared" ref="G58:G61" si="7">F58-E58</f>
        <v>36368.03</v>
      </c>
      <c r="H58" s="12"/>
      <c r="I58" s="7"/>
    </row>
    <row r="59" spans="1:9" x14ac:dyDescent="0.15">
      <c r="A59" s="1"/>
      <c r="B59" s="2"/>
      <c r="C59" s="57" t="s">
        <v>65</v>
      </c>
      <c r="D59" s="57"/>
      <c r="E59" s="20">
        <f>1616.72+6878.25</f>
        <v>8494.9699999999993</v>
      </c>
      <c r="F59" s="23">
        <v>17500</v>
      </c>
      <c r="G59" s="12">
        <f t="shared" si="7"/>
        <v>9005.0300000000007</v>
      </c>
      <c r="H59" s="12"/>
      <c r="I59" s="7"/>
    </row>
    <row r="60" spans="1:9" x14ac:dyDescent="0.15">
      <c r="A60" s="1"/>
      <c r="B60" s="2"/>
      <c r="C60" s="57" t="s">
        <v>66</v>
      </c>
      <c r="D60" s="57"/>
      <c r="E60" s="20">
        <v>1196.17</v>
      </c>
      <c r="F60" s="23">
        <v>20000</v>
      </c>
      <c r="G60" s="12">
        <f t="shared" si="7"/>
        <v>18803.830000000002</v>
      </c>
      <c r="H60" s="2"/>
      <c r="I60" s="7"/>
    </row>
    <row r="61" spans="1:9" x14ac:dyDescent="0.15">
      <c r="A61" s="1"/>
      <c r="B61" s="2"/>
      <c r="C61" s="57" t="s">
        <v>67</v>
      </c>
      <c r="D61" s="57"/>
      <c r="E61" s="20">
        <v>1082.3599999999999</v>
      </c>
      <c r="F61" s="23">
        <v>1500</v>
      </c>
      <c r="G61" s="12">
        <f t="shared" si="7"/>
        <v>417.6400000000001</v>
      </c>
      <c r="H61" s="12"/>
      <c r="I61" s="7"/>
    </row>
    <row r="62" spans="1:9" x14ac:dyDescent="0.15">
      <c r="A62" s="1"/>
      <c r="B62" s="57" t="s">
        <v>68</v>
      </c>
      <c r="C62" s="57"/>
      <c r="D62" s="2"/>
      <c r="E62" s="40">
        <v>15079.14</v>
      </c>
      <c r="F62" s="39">
        <v>20000</v>
      </c>
      <c r="G62" s="12">
        <f>F62-E62</f>
        <v>4920.8600000000006</v>
      </c>
      <c r="H62" s="12"/>
      <c r="I62" s="7"/>
    </row>
    <row r="63" spans="1:9" x14ac:dyDescent="0.15">
      <c r="A63" s="1"/>
      <c r="B63" s="57" t="s">
        <v>69</v>
      </c>
      <c r="C63" s="57"/>
      <c r="D63" s="57"/>
      <c r="E63" s="12">
        <f t="shared" ref="E63" si="8">SUM(E64:E68)</f>
        <v>1327551.3</v>
      </c>
      <c r="F63" s="12">
        <f>F64+F65+F66+F68+F67</f>
        <v>1372226.7</v>
      </c>
      <c r="G63" s="12">
        <f>F63-E63</f>
        <v>44675.399999999907</v>
      </c>
      <c r="H63" s="12"/>
      <c r="I63" s="7"/>
    </row>
    <row r="64" spans="1:9" x14ac:dyDescent="0.15">
      <c r="A64" s="1" t="s">
        <v>70</v>
      </c>
      <c r="B64" s="2"/>
      <c r="C64" s="57" t="s">
        <v>71</v>
      </c>
      <c r="D64" s="57"/>
      <c r="E64" s="20">
        <v>695486.38</v>
      </c>
      <c r="F64" s="23">
        <v>695500</v>
      </c>
      <c r="G64" s="12">
        <f t="shared" ref="G64:G68" si="9">F64-E64</f>
        <v>13.619999999995343</v>
      </c>
      <c r="H64" s="32"/>
      <c r="I64" s="7"/>
    </row>
    <row r="65" spans="1:10" x14ac:dyDescent="0.15">
      <c r="A65" s="1" t="s">
        <v>72</v>
      </c>
      <c r="B65" s="2"/>
      <c r="C65" s="57" t="s">
        <v>73</v>
      </c>
      <c r="D65" s="57"/>
      <c r="E65" s="20">
        <v>420683.15</v>
      </c>
      <c r="F65" s="23">
        <v>425000</v>
      </c>
      <c r="G65" s="12">
        <f t="shared" si="9"/>
        <v>4316.8499999999767</v>
      </c>
      <c r="H65" s="13"/>
      <c r="J65" s="7"/>
    </row>
    <row r="66" spans="1:10" x14ac:dyDescent="0.15">
      <c r="A66" s="1"/>
      <c r="B66" s="2"/>
      <c r="C66" s="57" t="s">
        <v>75</v>
      </c>
      <c r="D66" s="57"/>
      <c r="E66" s="20">
        <v>124973.45</v>
      </c>
      <c r="F66" s="23">
        <v>135000</v>
      </c>
      <c r="G66" s="12">
        <f t="shared" si="9"/>
        <v>10026.550000000003</v>
      </c>
      <c r="H66" s="12"/>
      <c r="I66" s="7"/>
    </row>
    <row r="67" spans="1:10" x14ac:dyDescent="0.15">
      <c r="A67" s="1"/>
      <c r="B67" s="42"/>
      <c r="C67" s="42" t="s">
        <v>120</v>
      </c>
      <c r="D67" s="42"/>
      <c r="E67" s="22">
        <v>0</v>
      </c>
      <c r="F67" s="23">
        <v>30000</v>
      </c>
      <c r="G67" s="12">
        <f t="shared" si="9"/>
        <v>30000</v>
      </c>
      <c r="H67" s="12"/>
      <c r="I67" s="7"/>
    </row>
    <row r="68" spans="1:10" x14ac:dyDescent="0.15">
      <c r="A68" s="1"/>
      <c r="B68" s="2"/>
      <c r="C68" s="2" t="s">
        <v>76</v>
      </c>
      <c r="D68" s="2"/>
      <c r="E68" s="20">
        <v>86408.320000000007</v>
      </c>
      <c r="F68" s="24">
        <f>(F64+F65)*I68</f>
        <v>86726.7</v>
      </c>
      <c r="G68" s="12">
        <f t="shared" si="9"/>
        <v>318.3799999999901</v>
      </c>
      <c r="H68" s="32" t="s">
        <v>77</v>
      </c>
      <c r="I68" s="50">
        <v>7.7399999999999997E-2</v>
      </c>
    </row>
    <row r="69" spans="1:10" x14ac:dyDescent="0.15">
      <c r="A69" s="1"/>
      <c r="B69" s="57" t="s">
        <v>78</v>
      </c>
      <c r="C69" s="57"/>
      <c r="D69" s="57"/>
      <c r="E69" s="12">
        <f t="shared" ref="E69:G69" si="10">SUM(E70:E75)</f>
        <v>51381.4</v>
      </c>
      <c r="F69" s="12">
        <f>SUM(F70:F75)</f>
        <v>68500</v>
      </c>
      <c r="G69" s="12">
        <f t="shared" si="10"/>
        <v>17118.599999999999</v>
      </c>
      <c r="H69" s="12"/>
    </row>
    <row r="70" spans="1:10" x14ac:dyDescent="0.15">
      <c r="A70" s="1"/>
      <c r="B70" s="2"/>
      <c r="C70" s="59" t="s">
        <v>79</v>
      </c>
      <c r="D70" s="57"/>
      <c r="E70" s="20">
        <v>23342.03</v>
      </c>
      <c r="F70" s="23">
        <v>24000</v>
      </c>
      <c r="G70" s="12">
        <f t="shared" ref="G70:G75" si="11">F70-E70</f>
        <v>657.97000000000116</v>
      </c>
      <c r="H70" s="32"/>
      <c r="I70" s="7"/>
    </row>
    <row r="71" spans="1:10" x14ac:dyDescent="0.15">
      <c r="A71" s="1"/>
      <c r="B71" s="2"/>
      <c r="C71" s="2" t="s">
        <v>80</v>
      </c>
      <c r="D71" s="2"/>
      <c r="E71" s="20">
        <v>4500</v>
      </c>
      <c r="F71" s="23">
        <v>9000</v>
      </c>
      <c r="G71" s="12">
        <f t="shared" si="11"/>
        <v>4500</v>
      </c>
      <c r="H71" s="12"/>
      <c r="I71" s="7"/>
    </row>
    <row r="72" spans="1:10" x14ac:dyDescent="0.15">
      <c r="A72" s="1"/>
      <c r="B72" s="2"/>
      <c r="C72" s="2" t="s">
        <v>81</v>
      </c>
      <c r="D72" s="2"/>
      <c r="E72" s="20">
        <v>4990.04</v>
      </c>
      <c r="F72" s="23">
        <v>10000</v>
      </c>
      <c r="G72" s="12">
        <f t="shared" si="11"/>
        <v>5009.96</v>
      </c>
      <c r="H72" s="12"/>
      <c r="I72" s="7"/>
    </row>
    <row r="73" spans="1:10" x14ac:dyDescent="0.15">
      <c r="A73" s="1"/>
      <c r="B73" s="2"/>
      <c r="C73" s="57" t="s">
        <v>113</v>
      </c>
      <c r="D73" s="57"/>
      <c r="E73" s="20">
        <v>8532.36</v>
      </c>
      <c r="F73" s="23">
        <v>15000</v>
      </c>
      <c r="G73" s="12">
        <f t="shared" si="11"/>
        <v>6467.6399999999994</v>
      </c>
      <c r="H73" s="12"/>
      <c r="I73" s="7"/>
    </row>
    <row r="74" spans="1:10" x14ac:dyDescent="0.15">
      <c r="A74" s="1"/>
      <c r="B74" s="2"/>
      <c r="C74" s="57" t="s">
        <v>82</v>
      </c>
      <c r="D74" s="57"/>
      <c r="E74" s="20">
        <f>4131.97+1350</f>
        <v>5481.97</v>
      </c>
      <c r="F74" s="23">
        <v>5500</v>
      </c>
      <c r="G74" s="12">
        <f t="shared" si="11"/>
        <v>18.029999999999745</v>
      </c>
      <c r="H74" s="12"/>
      <c r="I74" s="7"/>
    </row>
    <row r="75" spans="1:10" x14ac:dyDescent="0.15">
      <c r="A75" s="1"/>
      <c r="B75" s="2"/>
      <c r="C75" s="2" t="s">
        <v>67</v>
      </c>
      <c r="D75" s="2"/>
      <c r="E75" s="20">
        <v>4535</v>
      </c>
      <c r="F75" s="23">
        <v>5000</v>
      </c>
      <c r="G75" s="12">
        <f t="shared" si="11"/>
        <v>465</v>
      </c>
      <c r="H75" s="25"/>
      <c r="I75" s="7"/>
    </row>
    <row r="76" spans="1:10" x14ac:dyDescent="0.15">
      <c r="A76" s="1"/>
      <c r="B76" s="57" t="s">
        <v>7</v>
      </c>
      <c r="C76" s="57"/>
      <c r="D76" s="57"/>
      <c r="E76" s="12">
        <f>SUM(E77,E82:E82)</f>
        <v>139434.34999999998</v>
      </c>
      <c r="F76" s="12">
        <f>F77+F82</f>
        <v>192000</v>
      </c>
      <c r="G76" s="12">
        <f>F76-E76</f>
        <v>52565.650000000023</v>
      </c>
      <c r="H76" s="12"/>
      <c r="I76" s="7"/>
    </row>
    <row r="77" spans="1:10" x14ac:dyDescent="0.15">
      <c r="A77" s="1"/>
      <c r="B77" s="2"/>
      <c r="C77" s="57" t="s">
        <v>83</v>
      </c>
      <c r="D77" s="57"/>
      <c r="E77" s="14">
        <f>SUM(E78:E81)</f>
        <v>138006.54999999999</v>
      </c>
      <c r="F77" s="14">
        <f>SUM(F78:F81)</f>
        <v>189000</v>
      </c>
      <c r="G77" s="12">
        <f t="shared" ref="G77" si="12">SUM(G78:G81)</f>
        <v>50993.45</v>
      </c>
      <c r="H77" s="12"/>
      <c r="I77" s="7"/>
    </row>
    <row r="78" spans="1:10" x14ac:dyDescent="0.15">
      <c r="A78" s="1"/>
      <c r="B78" s="2"/>
      <c r="C78" s="2"/>
      <c r="D78" s="2" t="s">
        <v>84</v>
      </c>
      <c r="E78" s="21">
        <v>6432.74</v>
      </c>
      <c r="F78" s="26">
        <f>F9*I78</f>
        <v>6000</v>
      </c>
      <c r="G78" s="12">
        <f t="shared" ref="G78:G83" si="13">F78-E78</f>
        <v>-432.73999999999978</v>
      </c>
      <c r="H78" s="12" t="s">
        <v>74</v>
      </c>
      <c r="I78" s="7">
        <v>1.4999999999999999E-2</v>
      </c>
    </row>
    <row r="79" spans="1:10" x14ac:dyDescent="0.15">
      <c r="A79" s="1"/>
      <c r="B79" s="2"/>
      <c r="C79" s="2"/>
      <c r="D79" s="2" t="s">
        <v>85</v>
      </c>
      <c r="E79" s="21">
        <v>129449.57</v>
      </c>
      <c r="F79" s="21">
        <f>F9*I79</f>
        <v>177600</v>
      </c>
      <c r="G79" s="12">
        <f t="shared" si="13"/>
        <v>48150.429999999993</v>
      </c>
      <c r="H79" s="12" t="s">
        <v>74</v>
      </c>
      <c r="I79" s="7">
        <v>0.44400000000000001</v>
      </c>
    </row>
    <row r="80" spans="1:10" x14ac:dyDescent="0.15">
      <c r="A80" s="1"/>
      <c r="B80" s="2"/>
      <c r="C80" s="2"/>
      <c r="D80" s="2" t="s">
        <v>86</v>
      </c>
      <c r="E80" s="21">
        <f>1709.41+317.87</f>
        <v>2027.2800000000002</v>
      </c>
      <c r="F80" s="26">
        <v>5000</v>
      </c>
      <c r="G80" s="12">
        <f t="shared" si="13"/>
        <v>2972.72</v>
      </c>
      <c r="H80" s="12"/>
      <c r="I80" s="7"/>
    </row>
    <row r="81" spans="1:9" x14ac:dyDescent="0.15">
      <c r="A81" s="1"/>
      <c r="B81" s="2"/>
      <c r="C81" s="2"/>
      <c r="D81" s="2" t="s">
        <v>87</v>
      </c>
      <c r="E81" s="21">
        <v>96.96</v>
      </c>
      <c r="F81" s="26">
        <v>400</v>
      </c>
      <c r="G81" s="12">
        <f t="shared" si="13"/>
        <v>303.04000000000002</v>
      </c>
      <c r="H81" s="12"/>
      <c r="I81" s="7"/>
    </row>
    <row r="82" spans="1:9" x14ac:dyDescent="0.15">
      <c r="A82" s="1"/>
      <c r="B82" s="2"/>
      <c r="C82" s="2" t="s">
        <v>81</v>
      </c>
      <c r="D82" s="2"/>
      <c r="E82" s="20">
        <v>1427.8</v>
      </c>
      <c r="F82" s="23">
        <v>3000</v>
      </c>
      <c r="G82" s="12">
        <f t="shared" si="13"/>
        <v>1572.2</v>
      </c>
      <c r="H82" s="12"/>
      <c r="I82" s="7"/>
    </row>
    <row r="83" spans="1:9" x14ac:dyDescent="0.15">
      <c r="A83" s="1"/>
      <c r="B83" s="33" t="s">
        <v>34</v>
      </c>
      <c r="C83" s="2"/>
      <c r="D83" s="2"/>
      <c r="E83" s="40">
        <v>1400</v>
      </c>
      <c r="F83" s="39">
        <v>0</v>
      </c>
      <c r="G83" s="12">
        <f t="shared" si="13"/>
        <v>-1400</v>
      </c>
      <c r="H83" s="12"/>
      <c r="I83" s="7"/>
    </row>
    <row r="84" spans="1:9" x14ac:dyDescent="0.15">
      <c r="A84" s="1"/>
      <c r="B84" s="57" t="s">
        <v>88</v>
      </c>
      <c r="C84" s="57"/>
      <c r="D84" s="57"/>
      <c r="E84" s="39">
        <v>12000.69</v>
      </c>
      <c r="F84" s="39">
        <v>15000</v>
      </c>
      <c r="G84" s="12">
        <f>F84-E84</f>
        <v>2999.3099999999995</v>
      </c>
      <c r="H84" s="12"/>
      <c r="I84" s="7"/>
    </row>
    <row r="85" spans="1:9" x14ac:dyDescent="0.15">
      <c r="A85" s="1"/>
      <c r="B85" s="57" t="s">
        <v>89</v>
      </c>
      <c r="C85" s="57"/>
      <c r="D85" s="57"/>
      <c r="E85" s="12">
        <f>SUM(E86:E91)</f>
        <v>55353.66</v>
      </c>
      <c r="F85" s="12">
        <f>SUM(F86:F91)</f>
        <v>61235</v>
      </c>
      <c r="G85" s="12">
        <f>SUM(G86:G91)</f>
        <v>5881.3399999999992</v>
      </c>
      <c r="H85" s="12"/>
      <c r="I85" s="7"/>
    </row>
    <row r="86" spans="1:9" x14ac:dyDescent="0.15">
      <c r="A86" s="1"/>
      <c r="B86" s="2"/>
      <c r="C86" s="57" t="s">
        <v>125</v>
      </c>
      <c r="D86" s="57"/>
      <c r="E86" s="20">
        <f>5780.06+115</f>
        <v>5895.06</v>
      </c>
      <c r="F86" s="23">
        <v>8000</v>
      </c>
      <c r="G86" s="12">
        <f t="shared" ref="G86:G91" si="14">F86-E86</f>
        <v>2104.9399999999996</v>
      </c>
      <c r="H86" s="12"/>
      <c r="I86" s="7"/>
    </row>
    <row r="87" spans="1:9" x14ac:dyDescent="0.15">
      <c r="A87" s="1"/>
      <c r="B87" s="2"/>
      <c r="C87" s="57" t="s">
        <v>90</v>
      </c>
      <c r="D87" s="57"/>
      <c r="E87" s="20">
        <v>21632.97</v>
      </c>
      <c r="F87" s="23">
        <v>25000</v>
      </c>
      <c r="G87" s="12">
        <f t="shared" si="14"/>
        <v>3367.0299999999988</v>
      </c>
      <c r="H87" s="12"/>
      <c r="I87" s="7"/>
    </row>
    <row r="88" spans="1:9" x14ac:dyDescent="0.15">
      <c r="A88" s="1"/>
      <c r="B88" s="2"/>
      <c r="C88" s="57" t="s">
        <v>91</v>
      </c>
      <c r="D88" s="57"/>
      <c r="E88" s="20">
        <v>3696.54</v>
      </c>
      <c r="F88" s="23">
        <v>4000</v>
      </c>
      <c r="G88" s="12">
        <f t="shared" si="14"/>
        <v>303.46000000000004</v>
      </c>
      <c r="H88" s="12"/>
      <c r="I88" s="7"/>
    </row>
    <row r="89" spans="1:9" x14ac:dyDescent="0.15">
      <c r="A89" s="1"/>
      <c r="B89" s="2"/>
      <c r="C89" s="57" t="s">
        <v>92</v>
      </c>
      <c r="D89" s="57"/>
      <c r="E89" s="20">
        <v>7535.19</v>
      </c>
      <c r="F89" s="23">
        <v>7535</v>
      </c>
      <c r="G89" s="12">
        <f t="shared" si="14"/>
        <v>-0.18999999999959982</v>
      </c>
      <c r="H89" s="12"/>
      <c r="I89" s="7"/>
    </row>
    <row r="90" spans="1:9" x14ac:dyDescent="0.15">
      <c r="A90" s="1"/>
      <c r="B90" s="2"/>
      <c r="C90" s="57" t="s">
        <v>93</v>
      </c>
      <c r="D90" s="57"/>
      <c r="E90" s="20">
        <v>11660.47</v>
      </c>
      <c r="F90" s="23">
        <v>11500</v>
      </c>
      <c r="G90" s="12">
        <f t="shared" si="14"/>
        <v>-160.46999999999935</v>
      </c>
      <c r="H90" s="12"/>
      <c r="I90" s="7"/>
    </row>
    <row r="91" spans="1:9" x14ac:dyDescent="0.15">
      <c r="A91" s="1"/>
      <c r="B91" s="2"/>
      <c r="C91" s="57" t="s">
        <v>94</v>
      </c>
      <c r="D91" s="57"/>
      <c r="E91" s="20">
        <v>4933.43</v>
      </c>
      <c r="F91" s="23">
        <v>5200</v>
      </c>
      <c r="G91" s="12">
        <f t="shared" si="14"/>
        <v>266.56999999999971</v>
      </c>
      <c r="H91" s="12"/>
      <c r="I91" s="7"/>
    </row>
    <row r="92" spans="1:9" x14ac:dyDescent="0.15">
      <c r="A92" s="1"/>
      <c r="B92" s="2"/>
      <c r="C92" s="2"/>
      <c r="D92" s="2"/>
      <c r="E92" s="19">
        <f>SUM(E30:E31,E39:E41,E45,E51,E55:E57,E62:E63,E69,E76,E84:E85)</f>
        <v>2251815.4</v>
      </c>
      <c r="F92" s="19">
        <f>F30+F31+F39+F40+F41+F45+F51+F55+F56+F57+F62+F63+F69+F76+F83+F84+F85</f>
        <v>2495801.7448747503</v>
      </c>
      <c r="G92" s="19">
        <f>SUM(G30:G31,G39:G41,G45,G51,G55:G57,G62:G63,G69,G76,G84:G85)</f>
        <v>243986.34487474995</v>
      </c>
      <c r="H92" s="12"/>
      <c r="I92" s="7"/>
    </row>
    <row r="93" spans="1:9" x14ac:dyDescent="0.15">
      <c r="A93" s="1"/>
      <c r="B93" s="2"/>
      <c r="C93" s="2"/>
      <c r="D93" s="2"/>
      <c r="E93" s="27"/>
      <c r="F93" s="27"/>
      <c r="G93" s="27"/>
      <c r="H93" s="18"/>
      <c r="I93" s="7"/>
    </row>
    <row r="94" spans="1:9" x14ac:dyDescent="0.15">
      <c r="A94" s="1"/>
      <c r="B94" s="57" t="s">
        <v>95</v>
      </c>
      <c r="C94" s="57"/>
      <c r="D94" s="57"/>
      <c r="E94" s="3">
        <f>E27-E92</f>
        <v>-1654991.4</v>
      </c>
      <c r="F94" s="3">
        <f>F27-F92</f>
        <v>-1739000.4429747502</v>
      </c>
      <c r="G94" s="3">
        <f>G27-G92</f>
        <v>-84009.042974749929</v>
      </c>
      <c r="H94" s="3"/>
      <c r="I94" s="7"/>
    </row>
    <row r="95" spans="1:9" x14ac:dyDescent="0.15">
      <c r="A95" s="1"/>
      <c r="B95" s="2"/>
      <c r="C95" s="2"/>
      <c r="D95" s="2"/>
      <c r="E95" s="3"/>
      <c r="F95" s="3"/>
      <c r="G95" s="3"/>
      <c r="H95" s="27"/>
      <c r="I95" s="7"/>
    </row>
    <row r="96" spans="1:9" x14ac:dyDescent="0.15">
      <c r="A96" s="1"/>
      <c r="B96" s="58" t="s">
        <v>96</v>
      </c>
      <c r="C96" s="58"/>
      <c r="D96" s="58"/>
      <c r="E96" s="3"/>
      <c r="F96" s="3"/>
      <c r="G96" s="3"/>
      <c r="H96" s="3"/>
      <c r="I96" s="7"/>
    </row>
    <row r="97" spans="1:9" x14ac:dyDescent="0.15">
      <c r="A97" s="1"/>
      <c r="B97" s="58" t="s">
        <v>5</v>
      </c>
      <c r="C97" s="58"/>
      <c r="D97" s="58"/>
      <c r="E97" s="3"/>
      <c r="F97" s="3"/>
      <c r="G97" s="3"/>
      <c r="H97" s="3"/>
      <c r="I97" s="7"/>
    </row>
    <row r="98" spans="1:9" x14ac:dyDescent="0.15">
      <c r="A98" s="1"/>
      <c r="B98" s="57" t="s">
        <v>97</v>
      </c>
      <c r="C98" s="57"/>
      <c r="D98" s="57"/>
      <c r="E98" s="8">
        <f t="shared" ref="E98" si="15">SUM(E99:E101)</f>
        <v>134306.13</v>
      </c>
      <c r="F98" s="8">
        <f>F99+F100+F101</f>
        <v>94626</v>
      </c>
      <c r="G98" s="12">
        <f t="shared" ref="G98:G110" si="16">F98-E98</f>
        <v>-39680.130000000005</v>
      </c>
      <c r="H98" s="3"/>
      <c r="I98" s="7"/>
    </row>
    <row r="99" spans="1:9" x14ac:dyDescent="0.15">
      <c r="A99" s="1">
        <v>1</v>
      </c>
      <c r="B99" s="2"/>
      <c r="C99" s="59" t="s">
        <v>114</v>
      </c>
      <c r="D99" s="57"/>
      <c r="E99" s="11">
        <v>37531.129999999997</v>
      </c>
      <c r="F99" s="10">
        <v>23280</v>
      </c>
      <c r="G99" s="12">
        <f t="shared" si="16"/>
        <v>-14251.129999999997</v>
      </c>
      <c r="H99" s="3"/>
      <c r="I99" s="7"/>
    </row>
    <row r="100" spans="1:9" x14ac:dyDescent="0.15">
      <c r="A100" s="1">
        <v>2</v>
      </c>
      <c r="B100" s="2"/>
      <c r="C100" s="59" t="s">
        <v>115</v>
      </c>
      <c r="D100" s="57"/>
      <c r="E100" s="9">
        <f>775+53500</f>
        <v>54275</v>
      </c>
      <c r="F100" s="10">
        <f>3250+25596</f>
        <v>28846</v>
      </c>
      <c r="G100" s="12">
        <f t="shared" si="16"/>
        <v>-25429</v>
      </c>
      <c r="H100" s="3"/>
      <c r="I100" s="7"/>
    </row>
    <row r="101" spans="1:9" x14ac:dyDescent="0.15">
      <c r="A101" s="1">
        <v>3</v>
      </c>
      <c r="B101" s="2"/>
      <c r="C101" s="59" t="s">
        <v>98</v>
      </c>
      <c r="D101" s="59"/>
      <c r="E101" s="11">
        <v>42500</v>
      </c>
      <c r="F101" s="10">
        <v>42500</v>
      </c>
      <c r="G101" s="12">
        <f t="shared" si="16"/>
        <v>0</v>
      </c>
      <c r="H101" s="3"/>
      <c r="I101" s="7"/>
    </row>
    <row r="102" spans="1:9" x14ac:dyDescent="0.15">
      <c r="A102" s="1"/>
      <c r="B102" s="59" t="s">
        <v>99</v>
      </c>
      <c r="C102" s="59"/>
      <c r="D102" s="59"/>
      <c r="E102" s="12">
        <f>SUM(E103:E105)</f>
        <v>439772.1</v>
      </c>
      <c r="F102" s="12">
        <f>F103+F105+F104</f>
        <v>350000</v>
      </c>
      <c r="G102" s="12">
        <f t="shared" si="16"/>
        <v>-89772.099999999977</v>
      </c>
      <c r="H102" s="8"/>
      <c r="I102" s="7"/>
    </row>
    <row r="103" spans="1:9" x14ac:dyDescent="0.15">
      <c r="A103" s="1"/>
      <c r="B103" s="2"/>
      <c r="C103" s="57" t="s">
        <v>100</v>
      </c>
      <c r="D103" s="57"/>
      <c r="E103" s="10">
        <v>150154.47</v>
      </c>
      <c r="F103" s="10">
        <v>150000</v>
      </c>
      <c r="G103" s="12">
        <f t="shared" si="16"/>
        <v>-154.47000000000116</v>
      </c>
      <c r="H103" s="12"/>
      <c r="I103" s="7"/>
    </row>
    <row r="104" spans="1:9" x14ac:dyDescent="0.15">
      <c r="A104" s="1"/>
      <c r="B104" s="2"/>
      <c r="C104" s="33" t="s">
        <v>101</v>
      </c>
      <c r="D104" s="2"/>
      <c r="E104" s="22">
        <v>2157.5</v>
      </c>
      <c r="F104" s="10">
        <v>0</v>
      </c>
      <c r="G104" s="12">
        <f t="shared" si="16"/>
        <v>-2157.5</v>
      </c>
      <c r="H104" s="12"/>
      <c r="I104" s="7"/>
    </row>
    <row r="105" spans="1:9" x14ac:dyDescent="0.15">
      <c r="A105" s="1"/>
      <c r="B105" s="2"/>
      <c r="C105" s="57" t="s">
        <v>102</v>
      </c>
      <c r="D105" s="57"/>
      <c r="E105" s="20">
        <v>287460.13</v>
      </c>
      <c r="F105" s="10">
        <v>200000</v>
      </c>
      <c r="G105" s="12">
        <f t="shared" si="16"/>
        <v>-87460.13</v>
      </c>
      <c r="H105" s="12"/>
      <c r="I105" s="7"/>
    </row>
    <row r="106" spans="1:9" x14ac:dyDescent="0.15">
      <c r="A106" s="1"/>
      <c r="B106" s="51" t="s">
        <v>126</v>
      </c>
      <c r="C106" s="51"/>
      <c r="D106" s="51"/>
      <c r="E106" s="20">
        <v>455658.5</v>
      </c>
      <c r="F106" s="10">
        <f>1055247+117000</f>
        <v>1172247</v>
      </c>
      <c r="G106" s="12">
        <f t="shared" si="16"/>
        <v>716588.5</v>
      </c>
      <c r="H106" s="12" t="s">
        <v>133</v>
      </c>
      <c r="I106" s="7"/>
    </row>
    <row r="107" spans="1:9" x14ac:dyDescent="0.15">
      <c r="A107" s="1"/>
      <c r="B107" s="57" t="s">
        <v>103</v>
      </c>
      <c r="C107" s="57"/>
      <c r="D107" s="57"/>
      <c r="E107" s="38">
        <v>245850</v>
      </c>
      <c r="F107" s="38">
        <v>246000</v>
      </c>
      <c r="G107" s="12">
        <f t="shared" si="16"/>
        <v>150</v>
      </c>
      <c r="H107" s="12"/>
      <c r="I107" s="7"/>
    </row>
    <row r="108" spans="1:9" x14ac:dyDescent="0.15">
      <c r="A108" s="1" t="s">
        <v>104</v>
      </c>
      <c r="B108" s="57" t="s">
        <v>105</v>
      </c>
      <c r="C108" s="57"/>
      <c r="D108" s="57"/>
      <c r="E108" s="32">
        <f t="shared" ref="E108:F108" si="17">E109+E110</f>
        <v>351842.83999999997</v>
      </c>
      <c r="F108" s="32">
        <f t="shared" si="17"/>
        <v>410000</v>
      </c>
      <c r="G108" s="12">
        <f t="shared" si="16"/>
        <v>58157.160000000033</v>
      </c>
      <c r="H108" s="12"/>
      <c r="I108" s="7"/>
    </row>
    <row r="109" spans="1:9" x14ac:dyDescent="0.15">
      <c r="A109" s="1"/>
      <c r="B109" s="2"/>
      <c r="C109" s="33" t="s">
        <v>106</v>
      </c>
      <c r="D109" s="2"/>
      <c r="E109" s="20">
        <f>12366.72+255241.5</f>
        <v>267608.21999999997</v>
      </c>
      <c r="F109" s="14">
        <v>325000</v>
      </c>
      <c r="G109" s="12">
        <f t="shared" si="16"/>
        <v>57391.780000000028</v>
      </c>
      <c r="H109" s="12"/>
      <c r="I109" s="7"/>
    </row>
    <row r="110" spans="1:9" x14ac:dyDescent="0.15">
      <c r="A110" s="1"/>
      <c r="B110" s="2"/>
      <c r="C110" s="33" t="s">
        <v>107</v>
      </c>
      <c r="D110" s="2"/>
      <c r="E110" s="20">
        <v>84234.62</v>
      </c>
      <c r="F110" s="14">
        <v>85000</v>
      </c>
      <c r="G110" s="12">
        <f t="shared" si="16"/>
        <v>765.38000000000466</v>
      </c>
      <c r="H110" s="12"/>
      <c r="I110" s="7"/>
    </row>
    <row r="111" spans="1:9" x14ac:dyDescent="0.15">
      <c r="A111" s="1"/>
      <c r="B111" s="57" t="s">
        <v>37</v>
      </c>
      <c r="C111" s="57"/>
      <c r="D111" s="57"/>
      <c r="E111" s="38">
        <v>0</v>
      </c>
      <c r="F111" s="38">
        <v>0</v>
      </c>
      <c r="G111" s="12">
        <f>E111-F111</f>
        <v>0</v>
      </c>
      <c r="H111" s="12"/>
      <c r="I111" s="7"/>
    </row>
    <row r="112" spans="1:9" x14ac:dyDescent="0.15">
      <c r="A112" s="1"/>
      <c r="B112" s="2"/>
      <c r="C112" s="2"/>
      <c r="D112" s="2"/>
      <c r="E112" s="19">
        <f>E98+E102+E107+E108+E106</f>
        <v>1627429.5699999998</v>
      </c>
      <c r="F112" s="19">
        <f>F98+F102+F107+F108+F106</f>
        <v>2272873</v>
      </c>
      <c r="G112" s="19">
        <f>SUM(G98,G102,G107:G111)</f>
        <v>-12987.909999999916</v>
      </c>
      <c r="H112" s="12"/>
      <c r="I112" s="7"/>
    </row>
    <row r="113" spans="1:9" x14ac:dyDescent="0.15">
      <c r="A113" s="1"/>
      <c r="B113" s="2"/>
      <c r="C113" s="2"/>
      <c r="D113" s="2"/>
      <c r="E113" s="3"/>
      <c r="F113" s="3"/>
      <c r="G113" s="3"/>
      <c r="H113" s="12"/>
      <c r="I113" s="7"/>
    </row>
    <row r="114" spans="1:9" x14ac:dyDescent="0.15">
      <c r="A114" s="1"/>
      <c r="B114" s="58" t="s">
        <v>38</v>
      </c>
      <c r="C114" s="58"/>
      <c r="D114" s="58"/>
      <c r="E114" s="3"/>
      <c r="F114" s="3"/>
      <c r="G114" s="3"/>
      <c r="H114" s="12"/>
      <c r="I114" s="7"/>
    </row>
    <row r="115" spans="1:9" x14ac:dyDescent="0.15">
      <c r="A115" s="1"/>
      <c r="B115" s="33" t="s">
        <v>116</v>
      </c>
      <c r="C115" s="2"/>
      <c r="D115" s="2"/>
      <c r="E115" s="28">
        <v>39031.4</v>
      </c>
      <c r="F115" s="28">
        <v>11465</v>
      </c>
      <c r="G115" s="12">
        <f>F115-E115</f>
        <v>-27566.400000000001</v>
      </c>
      <c r="H115" s="12"/>
      <c r="I115" s="7"/>
    </row>
    <row r="116" spans="1:9" x14ac:dyDescent="0.15">
      <c r="A116" s="1"/>
      <c r="B116" s="2" t="s">
        <v>108</v>
      </c>
      <c r="C116" s="2"/>
      <c r="D116" s="2"/>
      <c r="E116" s="40">
        <v>10072.6</v>
      </c>
      <c r="F116" s="18">
        <f>F108*I116</f>
        <v>10660</v>
      </c>
      <c r="G116" s="12">
        <f>F116-E116</f>
        <v>587.39999999999964</v>
      </c>
      <c r="H116" s="12" t="s">
        <v>109</v>
      </c>
      <c r="I116" s="7">
        <v>2.5999999999999999E-2</v>
      </c>
    </row>
    <row r="117" spans="1:9" x14ac:dyDescent="0.15">
      <c r="A117" s="1"/>
      <c r="B117" s="59" t="s">
        <v>67</v>
      </c>
      <c r="C117" s="59"/>
      <c r="D117" s="59"/>
      <c r="E117" s="41">
        <f>8153.45+1892.86</f>
        <v>10046.31</v>
      </c>
      <c r="F117" s="41">
        <v>15000</v>
      </c>
      <c r="G117" s="12">
        <f>F117-E117</f>
        <v>4953.6900000000005</v>
      </c>
      <c r="H117" s="18"/>
      <c r="I117" s="7"/>
    </row>
    <row r="118" spans="1:9" x14ac:dyDescent="0.15">
      <c r="A118" s="1"/>
      <c r="B118" s="2"/>
      <c r="C118" s="2"/>
      <c r="D118" s="2"/>
      <c r="E118" s="19">
        <f t="shared" ref="E118" si="18">SUM(E115:E117)</f>
        <v>59150.31</v>
      </c>
      <c r="F118" s="19">
        <f>SUM(F115:F117)</f>
        <v>37125</v>
      </c>
      <c r="G118" s="19">
        <f>SUM(G115:G117)</f>
        <v>-22025.309999999998</v>
      </c>
      <c r="H118" s="3"/>
      <c r="I118" s="7"/>
    </row>
    <row r="119" spans="1:9" x14ac:dyDescent="0.15">
      <c r="A119" s="1"/>
      <c r="B119" s="2"/>
      <c r="C119" s="2"/>
      <c r="D119" s="2"/>
      <c r="E119" s="3"/>
      <c r="F119" s="3"/>
      <c r="G119" s="3"/>
      <c r="H119" s="3"/>
      <c r="I119" s="7"/>
    </row>
    <row r="120" spans="1:9" x14ac:dyDescent="0.15">
      <c r="A120" s="1"/>
      <c r="B120" s="57" t="s">
        <v>110</v>
      </c>
      <c r="C120" s="57"/>
      <c r="D120" s="57"/>
      <c r="E120" s="3">
        <f>E112-E118</f>
        <v>1568279.2599999998</v>
      </c>
      <c r="F120" s="3">
        <f>F112-F118</f>
        <v>2235748</v>
      </c>
      <c r="G120" s="3"/>
      <c r="H120" s="3"/>
      <c r="I120" s="7"/>
    </row>
    <row r="121" spans="1:9" x14ac:dyDescent="0.15">
      <c r="A121" s="1"/>
      <c r="B121" s="2"/>
      <c r="C121" s="2"/>
      <c r="D121" s="2"/>
      <c r="E121" s="3"/>
      <c r="F121" s="3"/>
      <c r="G121" s="3"/>
      <c r="H121" s="3"/>
      <c r="I121" s="7"/>
    </row>
    <row r="122" spans="1:9" x14ac:dyDescent="0.15">
      <c r="A122" s="1"/>
      <c r="B122" s="57" t="s">
        <v>111</v>
      </c>
      <c r="C122" s="57"/>
      <c r="D122" s="57"/>
      <c r="E122" s="3"/>
      <c r="F122" s="3"/>
      <c r="G122" s="3"/>
      <c r="H122" s="8"/>
      <c r="I122" s="7"/>
    </row>
    <row r="123" spans="1:9" x14ac:dyDescent="0.15">
      <c r="A123" s="1"/>
      <c r="B123" s="2"/>
      <c r="C123" s="57" t="s">
        <v>5</v>
      </c>
      <c r="D123" s="57"/>
      <c r="E123" s="3">
        <f>E112+E27</f>
        <v>2224253.5699999998</v>
      </c>
      <c r="F123" s="3">
        <f>F27+F112</f>
        <v>3029674.3019000003</v>
      </c>
      <c r="G123" s="3"/>
      <c r="H123" s="12"/>
      <c r="I123" s="7"/>
    </row>
    <row r="124" spans="1:9" x14ac:dyDescent="0.15">
      <c r="A124" s="1"/>
      <c r="B124" s="2"/>
      <c r="C124" s="57" t="s">
        <v>38</v>
      </c>
      <c r="D124" s="57"/>
      <c r="E124" s="3">
        <f>E92+E118</f>
        <v>2310965.71</v>
      </c>
      <c r="F124" s="3">
        <f>F118+F92</f>
        <v>2532926.7448747503</v>
      </c>
      <c r="G124" s="3"/>
      <c r="I124" s="7"/>
    </row>
    <row r="125" spans="1:9" x14ac:dyDescent="0.15">
      <c r="A125" s="1"/>
      <c r="B125" s="2"/>
      <c r="C125" s="2"/>
      <c r="D125" s="2"/>
      <c r="E125" s="19">
        <f>E123-E124</f>
        <v>-86712.14000000013</v>
      </c>
      <c r="F125" s="19">
        <f t="shared" ref="F125" si="19">F123-F124</f>
        <v>496747.55702525005</v>
      </c>
      <c r="G125" s="3"/>
      <c r="H125" s="18"/>
      <c r="I125" s="7"/>
    </row>
    <row r="126" spans="1:9" x14ac:dyDescent="0.15">
      <c r="A126" s="1"/>
      <c r="B126" s="2"/>
      <c r="C126" s="2"/>
      <c r="D126" s="2"/>
      <c r="E126" s="3"/>
      <c r="F126" s="3"/>
      <c r="G126" s="3"/>
      <c r="H126" s="3"/>
      <c r="I126" s="7"/>
    </row>
    <row r="127" spans="1:9" x14ac:dyDescent="0.15">
      <c r="B127" s="34" t="s">
        <v>127</v>
      </c>
    </row>
    <row r="128" spans="1:9" x14ac:dyDescent="0.15">
      <c r="D128" s="53" t="s">
        <v>128</v>
      </c>
      <c r="F128" s="54">
        <v>527624</v>
      </c>
    </row>
    <row r="129" spans="4:6" x14ac:dyDescent="0.15">
      <c r="D129" s="34" t="s">
        <v>129</v>
      </c>
      <c r="E129" s="55"/>
      <c r="F129" s="56">
        <v>351000</v>
      </c>
    </row>
    <row r="130" spans="4:6" x14ac:dyDescent="0.15">
      <c r="D130" s="52" t="s">
        <v>130</v>
      </c>
      <c r="F130" s="54">
        <f>SUM(F128+F129)</f>
        <v>878624</v>
      </c>
    </row>
  </sheetData>
  <mergeCells count="78">
    <mergeCell ref="C20:D20"/>
    <mergeCell ref="B6:D6"/>
    <mergeCell ref="B7:D7"/>
    <mergeCell ref="B8:D8"/>
    <mergeCell ref="C9:D9"/>
    <mergeCell ref="C11:D11"/>
    <mergeCell ref="C13:D13"/>
    <mergeCell ref="B14:D14"/>
    <mergeCell ref="C15:D15"/>
    <mergeCell ref="C16:D16"/>
    <mergeCell ref="C42:D42"/>
    <mergeCell ref="B21:C21"/>
    <mergeCell ref="C22:D22"/>
    <mergeCell ref="C25:D25"/>
    <mergeCell ref="B26:D26"/>
    <mergeCell ref="B29:D29"/>
    <mergeCell ref="B31:D31"/>
    <mergeCell ref="C32:D32"/>
    <mergeCell ref="C33:D33"/>
    <mergeCell ref="C37:D37"/>
    <mergeCell ref="B39:D39"/>
    <mergeCell ref="B41:D41"/>
    <mergeCell ref="B55:D55"/>
    <mergeCell ref="C43:D43"/>
    <mergeCell ref="C44:D44"/>
    <mergeCell ref="B45:D45"/>
    <mergeCell ref="C46:D46"/>
    <mergeCell ref="C47:D47"/>
    <mergeCell ref="C48:D48"/>
    <mergeCell ref="C49:D49"/>
    <mergeCell ref="B51:D51"/>
    <mergeCell ref="C52:D52"/>
    <mergeCell ref="C53:D53"/>
    <mergeCell ref="C54:D54"/>
    <mergeCell ref="B69:D69"/>
    <mergeCell ref="B56:D56"/>
    <mergeCell ref="B57:D57"/>
    <mergeCell ref="C58:D58"/>
    <mergeCell ref="C59:D59"/>
    <mergeCell ref="C60:D60"/>
    <mergeCell ref="C61:D61"/>
    <mergeCell ref="B62:C62"/>
    <mergeCell ref="B63:D63"/>
    <mergeCell ref="C64:D64"/>
    <mergeCell ref="C65:D65"/>
    <mergeCell ref="C66:D66"/>
    <mergeCell ref="C90:D90"/>
    <mergeCell ref="C70:D70"/>
    <mergeCell ref="C73:D73"/>
    <mergeCell ref="C74:D74"/>
    <mergeCell ref="B76:D76"/>
    <mergeCell ref="C77:D77"/>
    <mergeCell ref="B84:D84"/>
    <mergeCell ref="B85:D85"/>
    <mergeCell ref="C86:D86"/>
    <mergeCell ref="C87:D87"/>
    <mergeCell ref="C88:D88"/>
    <mergeCell ref="C89:D89"/>
    <mergeCell ref="B107:D107"/>
    <mergeCell ref="C91:D91"/>
    <mergeCell ref="B94:D94"/>
    <mergeCell ref="B96:D96"/>
    <mergeCell ref="B97:D97"/>
    <mergeCell ref="B98:D98"/>
    <mergeCell ref="C99:D99"/>
    <mergeCell ref="C100:D100"/>
    <mergeCell ref="C101:D101"/>
    <mergeCell ref="B102:D102"/>
    <mergeCell ref="C103:D103"/>
    <mergeCell ref="C105:D105"/>
    <mergeCell ref="C123:D123"/>
    <mergeCell ref="C124:D124"/>
    <mergeCell ref="B108:D108"/>
    <mergeCell ref="B111:D111"/>
    <mergeCell ref="B114:D114"/>
    <mergeCell ref="B117:D117"/>
    <mergeCell ref="B120:D120"/>
    <mergeCell ref="B122:D122"/>
  </mergeCells>
  <pageMargins left="0.75" right="0.75" top="1" bottom="1" header="0.5" footer="0.5"/>
  <pageSetup scale="78" fitToHeight="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Belcourt Theatre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Silverman</dc:creator>
  <cp:lastModifiedBy>Stephanie Silverman</cp:lastModifiedBy>
  <cp:lastPrinted>2020-02-03T21:19:57Z</cp:lastPrinted>
  <dcterms:created xsi:type="dcterms:W3CDTF">2018-12-10T22:23:26Z</dcterms:created>
  <dcterms:modified xsi:type="dcterms:W3CDTF">2021-07-23T17:52:45Z</dcterms:modified>
</cp:coreProperties>
</file>