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ening Cash Flow Model" sheetId="1" r:id="rId4"/>
    <sheet state="visible" name="Enrollment &amp; Revenue" sheetId="2" r:id="rId5"/>
    <sheet state="visible" name="Staff &amp; Personnel Expenses" sheetId="3" r:id="rId6"/>
    <sheet state="visible" name="Facilities Expenses" sheetId="4" r:id="rId7"/>
    <sheet state="visible" name="Operations Expenses" sheetId="5" r:id="rId8"/>
    <sheet state="visible" name="Financial Summary" sheetId="6" r:id="rId9"/>
    <sheet state="visible" name="Monthly Cash Flow" sheetId="7" r:id="rId10"/>
    <sheet state="visible" name="Instructional Staff Model" sheetId="8" r:id="rId11"/>
  </sheets>
  <definedNames/>
  <calcPr/>
  <extLst>
    <ext uri="GoogleSheetsCustomDataVersion2">
      <go:sheetsCustomData xmlns:go="http://customooxmlschemas.google.com/" r:id="rId12" roundtripDataChecksum="5WOVxNoaZzqpeDx0VV4SrGIGs1obLKUES46mTtWRJg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0">
      <text>
        <t xml:space="preserve">======
ID#AAAAwg1VIfw
Roy Renfro    (2023-05-08 20:52:26)
May 8 projection</t>
      </text>
    </comment>
  </commentList>
  <extLst>
    <ext uri="GoogleSheetsCustomDataVersion2">
      <go:sheetsCustomData xmlns:go="http://customooxmlschemas.google.com/" r:id="rId1" roundtripDataSignature="AMtx7mgK33SDEc3EnVDb2CBuKzRS4WvUvQ=="/>
    </ext>
  </extLst>
</comments>
</file>

<file path=xl/sharedStrings.xml><?xml version="1.0" encoding="utf-8"?>
<sst xmlns="http://schemas.openxmlformats.org/spreadsheetml/2006/main" count="805" uniqueCount="414">
  <si>
    <t>1H June</t>
  </si>
  <si>
    <t>2H June</t>
  </si>
  <si>
    <t>1H July</t>
  </si>
  <si>
    <t>2H July</t>
  </si>
  <si>
    <t>1H Aug</t>
  </si>
  <si>
    <t>2H Aug</t>
  </si>
  <si>
    <t>Starting Cash</t>
  </si>
  <si>
    <t>Educational Revenue</t>
  </si>
  <si>
    <t>Fundraising Revenue</t>
  </si>
  <si>
    <t>Total Revenue</t>
  </si>
  <si>
    <t>Payroll</t>
  </si>
  <si>
    <t>Reimbursable Occupancy</t>
  </si>
  <si>
    <t>Reimbursable Facilities Project</t>
  </si>
  <si>
    <t>+ Facilities Reimbursement</t>
  </si>
  <si>
    <t>Opening Costs</t>
  </si>
  <si>
    <t>Marketing Costs</t>
  </si>
  <si>
    <t>Operating Costs</t>
  </si>
  <si>
    <t>Pre-Financing Cash Flow</t>
  </si>
  <si>
    <t>+ Financing Cash Flow</t>
  </si>
  <si>
    <t>Net Cash Flow</t>
  </si>
  <si>
    <t>Ending Cash</t>
  </si>
  <si>
    <t>Minimum Cash</t>
  </si>
  <si>
    <t>Line of Credit Balance</t>
  </si>
  <si>
    <t>Tennessee Nature Academy</t>
  </si>
  <si>
    <t>Enrollment &amp; Revenue</t>
  </si>
  <si>
    <t>Fiscal Year End June 30th</t>
  </si>
  <si>
    <t>Pre-Ops</t>
  </si>
  <si>
    <t>Operating</t>
  </si>
  <si>
    <t>Fiscal Year</t>
  </si>
  <si>
    <t>Operating Year</t>
  </si>
  <si>
    <t>Total Enrollment</t>
  </si>
  <si>
    <t>Average Revenue per Student</t>
  </si>
  <si>
    <t>ENROLLMENT &amp; REVENUE - SUMMARY</t>
  </si>
  <si>
    <t>Middle School Enrollment</t>
  </si>
  <si>
    <t>High School Enrollment</t>
  </si>
  <si>
    <t>Revenue per Student</t>
  </si>
  <si>
    <t>ENROLLMENT</t>
  </si>
  <si>
    <t>Number of Classrooms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</si>
  <si>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</si>
  <si>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</si>
  <si>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</si>
  <si>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</si>
  <si>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</si>
  <si>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</si>
  <si>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</si>
  <si>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</si>
  <si>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</si>
  <si>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</si>
  <si>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</si>
  <si>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</si>
  <si>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</si>
  <si>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Classrooms</t>
  </si>
  <si>
    <t>x Classroom Capacity, Students, MS</t>
  </si>
  <si>
    <t>x Classroom Capacity, Students, HS</t>
  </si>
  <si>
    <t>Enrollment</t>
  </si>
  <si>
    <t>Student Retention, Gross</t>
  </si>
  <si>
    <t>+ New Student Growth</t>
  </si>
  <si>
    <t>Student Retention, Net</t>
  </si>
  <si>
    <t>Enrolled Student Attendance</t>
  </si>
  <si>
    <t>REVENUE</t>
  </si>
  <si>
    <t>TISA</t>
  </si>
  <si>
    <t>% Annual Adjustment</t>
  </si>
  <si>
    <t>Title 1</t>
  </si>
  <si>
    <t>% Students Eligible</t>
  </si>
  <si>
    <t>IDEA</t>
  </si>
  <si>
    <t>NSLP</t>
  </si>
  <si>
    <t>Educational Revenue per Student</t>
  </si>
  <si>
    <t>Total Educational Revenue</t>
  </si>
  <si>
    <t>Charter School Expansion Grant</t>
  </si>
  <si>
    <t>CSP Funding</t>
  </si>
  <si>
    <t>Joe C. Davis Foundation</t>
  </si>
  <si>
    <t>City Fund</t>
  </si>
  <si>
    <t>TN Facilities Grant</t>
  </si>
  <si>
    <t>Charter Growth Fund</t>
  </si>
  <si>
    <t>Other Fundraising</t>
  </si>
  <si>
    <t>Total Fundraising Revenue</t>
  </si>
  <si>
    <t>Staff &amp; Personnel Expenses</t>
  </si>
  <si>
    <t>STAFF &amp; PERSONNEL EXPENSES - SUMMARY</t>
  </si>
  <si>
    <t>Administrative Staff</t>
  </si>
  <si>
    <t>Instructional Staff</t>
  </si>
  <si>
    <t>Total Staff</t>
  </si>
  <si>
    <t>Total Personnel Expenses</t>
  </si>
  <si>
    <t>Personnel Expense per Student</t>
  </si>
  <si>
    <t>% of Total Revenue</t>
  </si>
  <si>
    <t>Note: Average per FTE</t>
  </si>
  <si>
    <t>STAFF</t>
  </si>
  <si>
    <t>Administrative Staff, FTE</t>
  </si>
  <si>
    <t>Principal / School Leader</t>
  </si>
  <si>
    <t>Chief Academic Officer</t>
  </si>
  <si>
    <t>Assistant Principal</t>
  </si>
  <si>
    <t>Special Education Coordinator</t>
  </si>
  <si>
    <t>Deans &amp; Directors</t>
  </si>
  <si>
    <t>Nature Educators</t>
  </si>
  <si>
    <t>Social Workers / Counseling</t>
  </si>
  <si>
    <t>Office Manager</t>
  </si>
  <si>
    <t>Operations Assistant</t>
  </si>
  <si>
    <t>Other (Nurses, etc.)</t>
  </si>
  <si>
    <t>Total Administrative Staff, FTE</t>
  </si>
  <si>
    <t>Instructional Staff, FTE</t>
  </si>
  <si>
    <t>Elective Teachers</t>
  </si>
  <si>
    <t>Special Education/ ELL Teachers</t>
  </si>
  <si>
    <t>Total Instructional Staff, FTE</t>
  </si>
  <si>
    <t>Inst. FTE per MS Classroom</t>
  </si>
  <si>
    <t>Inst. FTE per HS Classroom</t>
  </si>
  <si>
    <t>Students per Instructional FTE</t>
  </si>
  <si>
    <t>Total Staff, FTE</t>
  </si>
  <si>
    <t>PERSONNEL EXPENSES</t>
  </si>
  <si>
    <t>Base Salaries</t>
  </si>
  <si>
    <t>General School Assistant</t>
  </si>
  <si>
    <t>Instructional Staff Salaries</t>
  </si>
  <si>
    <t>Total Base Salaries</t>
  </si>
  <si>
    <t>Average per FTE</t>
  </si>
  <si>
    <t>Payroll Taxes &amp; Employee Benefits</t>
  </si>
  <si>
    <t>Medicare / FICA</t>
  </si>
  <si>
    <t>% of Base Salaries</t>
  </si>
  <si>
    <t>State Retirement Benefits</t>
  </si>
  <si>
    <t>% Legacy</t>
  </si>
  <si>
    <t>% Hybrid</t>
  </si>
  <si>
    <t>Healthcare Benefits</t>
  </si>
  <si>
    <t>% Premium Paid by TNA</t>
  </si>
  <si>
    <t>1) $ per QB</t>
  </si>
  <si>
    <t>% QB FTEs</t>
  </si>
  <si>
    <t>2) $ per QB + Children</t>
  </si>
  <si>
    <t>% QB + Children FTEs</t>
  </si>
  <si>
    <t>3) $ per QB + Spouse</t>
  </si>
  <si>
    <t>% QB + Spouse FTEs</t>
  </si>
  <si>
    <t>4) $ per QB + Family</t>
  </si>
  <si>
    <t>% QB + Family FTEs</t>
  </si>
  <si>
    <t>Unemployment Benefits</t>
  </si>
  <si>
    <t>Workers Compensation</t>
  </si>
  <si>
    <t>per FTE</t>
  </si>
  <si>
    <t>Total Payroll Taxes &amp; Empl. Benefits</t>
  </si>
  <si>
    <t>% of Average Base Salary</t>
  </si>
  <si>
    <t>Other Personnel Costs</t>
  </si>
  <si>
    <t>Professional Development</t>
  </si>
  <si>
    <t>Summer Interns</t>
  </si>
  <si>
    <t>Substitute Teachers</t>
  </si>
  <si>
    <t>days per Instructional Staff</t>
  </si>
  <si>
    <t>per Day</t>
  </si>
  <si>
    <t>Total Other Personnel Costs</t>
  </si>
  <si>
    <t>Total Personnel Costs</t>
  </si>
  <si>
    <t>Average per Student</t>
  </si>
  <si>
    <t>12-Month Employee Total Cost</t>
  </si>
  <si>
    <t>per Month</t>
  </si>
  <si>
    <t>10-Month Employee Total Cost</t>
  </si>
  <si>
    <t>Facilities Expenses</t>
  </si>
  <si>
    <t>FACILITIES - SUMMARY</t>
  </si>
  <si>
    <t>Total Facilities Expenses</t>
  </si>
  <si>
    <t>Facilities Expense per Student</t>
  </si>
  <si>
    <t>Total Facilities Investments</t>
  </si>
  <si>
    <t>FACILITIES, EXPENSES</t>
  </si>
  <si>
    <t>Square feet per Student</t>
  </si>
  <si>
    <t>Total Square Feet</t>
  </si>
  <si>
    <t>Lease Expense</t>
  </si>
  <si>
    <t>Lease Rate per Sq. Ft.</t>
  </si>
  <si>
    <t>Operating Expense (cleaning)</t>
  </si>
  <si>
    <t>Operating Expense per Sq. Ft.</t>
  </si>
  <si>
    <t>Utilities</t>
  </si>
  <si>
    <t>Utilities Cost per Sq. Ft.</t>
  </si>
  <si>
    <t>Internet Service</t>
  </si>
  <si>
    <t>% Annual contract increase</t>
  </si>
  <si>
    <t>Cell Service</t>
  </si>
  <si>
    <t>Internet Equipment</t>
  </si>
  <si>
    <t>Insurance</t>
  </si>
  <si>
    <t>FACILITIES, CAPITAL INVESTMENTS</t>
  </si>
  <si>
    <t>Leasehold Improvements</t>
  </si>
  <si>
    <t>Lease Downpayment</t>
  </si>
  <si>
    <t>FACILITIES, FINANCING</t>
  </si>
  <si>
    <t>Beg. Construction Loan</t>
  </si>
  <si>
    <t>+ Draws</t>
  </si>
  <si>
    <t>- Repayments</t>
  </si>
  <si>
    <t>End Construction Loan</t>
  </si>
  <si>
    <t>Average Balance</t>
  </si>
  <si>
    <t>% Interest Rate (Annualized)</t>
  </si>
  <si>
    <t>Operations Expenses</t>
  </si>
  <si>
    <t>OPERATIONS EXPENSES - SUMMARY</t>
  </si>
  <si>
    <t>Operating Expenses</t>
  </si>
  <si>
    <t>Technology Expenses</t>
  </si>
  <si>
    <t>Transportation Expenses</t>
  </si>
  <si>
    <t>Total Operations Expenses</t>
  </si>
  <si>
    <t>Operations Expense per Student</t>
  </si>
  <si>
    <t>OPERATIONS EXPENSES</t>
  </si>
  <si>
    <t>Cost Drivers</t>
  </si>
  <si>
    <t>Students</t>
  </si>
  <si>
    <t>Classrooms</t>
  </si>
  <si>
    <t>Enrichment Classrooms</t>
  </si>
  <si>
    <t>New Students, Gross (Y+1)</t>
  </si>
  <si>
    <t>Special Education Students</t>
  </si>
  <si>
    <t>% of Total Students</t>
  </si>
  <si>
    <t>New Hires (Y+1), Net</t>
  </si>
  <si>
    <t>+ Administrative Turnover</t>
  </si>
  <si>
    <t>+ Instructional Turnover</t>
  </si>
  <si>
    <t>New Hires (Y+1), Gross</t>
  </si>
  <si>
    <t>Student &amp; Staff Recruitment</t>
  </si>
  <si>
    <t>Student Recruitment</t>
  </si>
  <si>
    <t>Website Design &amp; Hosting</t>
  </si>
  <si>
    <t>Digital Marketing</t>
  </si>
  <si>
    <t>Radio Marketing</t>
  </si>
  <si>
    <t>Marketing Materials</t>
  </si>
  <si>
    <t xml:space="preserve">Student Apparel </t>
  </si>
  <si>
    <t>Community Outreach Events</t>
  </si>
  <si>
    <t>Number of Events</t>
  </si>
  <si>
    <t>Cost per Event</t>
  </si>
  <si>
    <t>Camps &amp; Clubs</t>
  </si>
  <si>
    <t>Number of Camps &amp; Clubs</t>
  </si>
  <si>
    <t>Cost per Camp &amp; Club</t>
  </si>
  <si>
    <t>Total Student Recruitment</t>
  </si>
  <si>
    <t>Cost per New Student</t>
  </si>
  <si>
    <t>Staff Recruitment</t>
  </si>
  <si>
    <t>Recruitment cost per New Hire</t>
  </si>
  <si>
    <t>Total Staff Recruitment</t>
  </si>
  <si>
    <t>Total Student &amp; Staff Recruitment Costs</t>
  </si>
  <si>
    <t>Instructional</t>
  </si>
  <si>
    <t>Classroom Materials</t>
  </si>
  <si>
    <t>Classroom Supplies (Y)</t>
  </si>
  <si>
    <t>per Student</t>
  </si>
  <si>
    <t>Faculty Supplies (Y)</t>
  </si>
  <si>
    <t>per Instructional Staff</t>
  </si>
  <si>
    <t>Instructional Materials (Y+1)</t>
  </si>
  <si>
    <t>Assessment Materials (Y)</t>
  </si>
  <si>
    <t>Library Purchases (Y)</t>
  </si>
  <si>
    <t>Enrichment (Y)</t>
  </si>
  <si>
    <t>New Enrichment Classrooms</t>
  </si>
  <si>
    <t>Total Classroom Materials</t>
  </si>
  <si>
    <t>Other Instructional</t>
  </si>
  <si>
    <t>Field Trips</t>
  </si>
  <si>
    <t>per Classroom</t>
  </si>
  <si>
    <t>Total Other Instructional</t>
  </si>
  <si>
    <t>Total Instructional Costs</t>
  </si>
  <si>
    <t>Administration &amp; Services</t>
  </si>
  <si>
    <t>School Administration</t>
  </si>
  <si>
    <t>Health Supplies</t>
  </si>
  <si>
    <t>Postage &amp; Shipping</t>
  </si>
  <si>
    <t>Gifts &amp; Awards</t>
  </si>
  <si>
    <t>Office Supplies</t>
  </si>
  <si>
    <t>per FTE / Mo.</t>
  </si>
  <si>
    <t>Copier Cost</t>
  </si>
  <si>
    <t>Cost per Copier</t>
  </si>
  <si>
    <t>Copiers per 100 students</t>
  </si>
  <si>
    <t>Cost per Student</t>
  </si>
  <si>
    <t>Total School Administration Costs</t>
  </si>
  <si>
    <t>Professional Services</t>
  </si>
  <si>
    <t>Insurance (General, D&amp;O)</t>
  </si>
  <si>
    <t>Consulting</t>
  </si>
  <si>
    <t>Legal</t>
  </si>
  <si>
    <t>Outsourced Financial Management</t>
  </si>
  <si>
    <t>Audit Services</t>
  </si>
  <si>
    <t>Banking Fees</t>
  </si>
  <si>
    <t>Special Education Services</t>
  </si>
  <si>
    <t>per Sped Student</t>
  </si>
  <si>
    <t>Charter Authorizer Fee</t>
  </si>
  <si>
    <t>Nutrition Services</t>
  </si>
  <si>
    <t>per Enrolled Student</t>
  </si>
  <si>
    <t>Total Professional Services</t>
  </si>
  <si>
    <t>Total Administration &amp; Services Costs</t>
  </si>
  <si>
    <t>Furniture &amp; Fixtures</t>
  </si>
  <si>
    <t>Classroom Furniture (Y+1)</t>
  </si>
  <si>
    <t>Student Furniture</t>
  </si>
  <si>
    <t>per New Classroom</t>
  </si>
  <si>
    <t>Staff Furniture</t>
  </si>
  <si>
    <t>Replacement (8 years)</t>
  </si>
  <si>
    <t>Total Classroom Furniture</t>
  </si>
  <si>
    <t>Office Furniture</t>
  </si>
  <si>
    <t>per New FTE</t>
  </si>
  <si>
    <t>Cafeteria</t>
  </si>
  <si>
    <t>Outdoors</t>
  </si>
  <si>
    <t>Signage</t>
  </si>
  <si>
    <t>Total Non-Classroom Furniture</t>
  </si>
  <si>
    <t>Total Furniture &amp; Fixtures Costs</t>
  </si>
  <si>
    <t>TOTAL OPERATING EXPENSES</t>
  </si>
  <si>
    <t>TECHNOLOGY EXPENSES</t>
  </si>
  <si>
    <t>Student Computers</t>
  </si>
  <si>
    <t>New Student Computers</t>
  </si>
  <si>
    <t>per Unit</t>
  </si>
  <si>
    <t>Replacement Student Computers (3 yrs)</t>
  </si>
  <si>
    <t>Total Student Computers</t>
  </si>
  <si>
    <t>Classroom Tablets</t>
  </si>
  <si>
    <t>New Classroom Tablets</t>
  </si>
  <si>
    <t>Replacement Classroom Tablets (3 yrs)</t>
  </si>
  <si>
    <t>Total Classroom Tablets</t>
  </si>
  <si>
    <t>Staff Computers</t>
  </si>
  <si>
    <t>New Staff Computers</t>
  </si>
  <si>
    <t>Replacement Staff Computers (4 yrs)</t>
  </si>
  <si>
    <t>Total Staff Computers</t>
  </si>
  <si>
    <t>Projectors</t>
  </si>
  <si>
    <t>Projectors and doc cams</t>
  </si>
  <si>
    <t>Replacement Projector (8 yrs)</t>
  </si>
  <si>
    <t>Total Projectors</t>
  </si>
  <si>
    <t>Software</t>
  </si>
  <si>
    <t>Student Software</t>
  </si>
  <si>
    <t>Staff Software</t>
  </si>
  <si>
    <t>Total Software</t>
  </si>
  <si>
    <t>Total Hardware &amp; Software</t>
  </si>
  <si>
    <t>Managed Services</t>
  </si>
  <si>
    <t>TOTAL TECHNOLOGY EXPENSES</t>
  </si>
  <si>
    <t>TRANSPORTATION EXPENSES</t>
  </si>
  <si>
    <t>Transport Students</t>
  </si>
  <si>
    <t>% Transportation Utilization</t>
  </si>
  <si>
    <t>Students per Bus</t>
  </si>
  <si>
    <t>Required Buses</t>
  </si>
  <si>
    <t>Operating Cost / Bus / Month</t>
  </si>
  <si>
    <t>TOTAL TRANSPORTATION EXPENSES</t>
  </si>
  <si>
    <t>Financial Summary</t>
  </si>
  <si>
    <t>Revenue</t>
  </si>
  <si>
    <t>Expenses</t>
  </si>
  <si>
    <t>Personnel</t>
  </si>
  <si>
    <t>Facilities</t>
  </si>
  <si>
    <t>Technology &amp; Equipment</t>
  </si>
  <si>
    <t>Transportation</t>
  </si>
  <si>
    <t>Financing Costs</t>
  </si>
  <si>
    <t>Total Expenses</t>
  </si>
  <si>
    <t>Surplus / Deficit</t>
  </si>
  <si>
    <t>Surplus / Deficit per Student</t>
  </si>
  <si>
    <t>Beginning Fund Balance</t>
  </si>
  <si>
    <t>+/- Operating Surplus / Deficit</t>
  </si>
  <si>
    <t>+/- Capital Investments</t>
  </si>
  <si>
    <t>+/- Capital Project Funding</t>
  </si>
  <si>
    <t>+/- Line of Credit</t>
  </si>
  <si>
    <t>Change in Fund Balance</t>
  </si>
  <si>
    <t>Ending Fund Balance</t>
  </si>
  <si>
    <t>P&amp;L as % of Total Revenue</t>
  </si>
  <si>
    <t>P&amp;L per Student</t>
  </si>
  <si>
    <t>Monthly Cash Flow - FY 2023 &amp; 2024</t>
  </si>
  <si>
    <t>FY 2022-2023</t>
  </si>
  <si>
    <t>FY2023</t>
  </si>
  <si>
    <t>CHECK</t>
  </si>
  <si>
    <t>FY 2023-2024</t>
  </si>
  <si>
    <t>FY2024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</si>
  <si>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</si>
  <si>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</si>
  <si>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</si>
  <si>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</si>
  <si>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</si>
  <si>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</si>
  <si>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</si>
  <si>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</si>
  <si>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</si>
  <si>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</si>
  <si>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</si>
  <si>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</si>
  <si>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</si>
  <si>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Government Grants (CSP/Facilities Grant)</t>
  </si>
  <si>
    <t xml:space="preserve">City Fund </t>
  </si>
  <si>
    <t>Salaries &amp; Benefits</t>
  </si>
  <si>
    <t>Other Personnel (PD/interns)</t>
  </si>
  <si>
    <t>Rent</t>
  </si>
  <si>
    <t>Other Facilities</t>
  </si>
  <si>
    <t>Staff &amp; Student Recruitment</t>
  </si>
  <si>
    <t>Instructional Costs</t>
  </si>
  <si>
    <t>Administrative &amp; Prof. Services</t>
  </si>
  <si>
    <t>Line of Credit</t>
  </si>
  <si>
    <t>Beg. Balance</t>
  </si>
  <si>
    <t>End Balance</t>
  </si>
  <si>
    <t>Max Balance</t>
  </si>
  <si>
    <t>Days Line of Credit Drawn</t>
  </si>
  <si>
    <t>Annual Interest Rate</t>
  </si>
  <si>
    <t>Daily Interest Rate</t>
  </si>
  <si>
    <t>Interest Cost</t>
  </si>
  <si>
    <t>Other Financing Costs</t>
  </si>
  <si>
    <t>Total Financing Costs</t>
  </si>
  <si>
    <t>INSTRUCTIONAL STAFF BUDGET</t>
  </si>
  <si>
    <t>Instructional Staff Salary Budget</t>
  </si>
  <si>
    <t>Average Base Salary</t>
  </si>
  <si>
    <t>Instructional Staff HC Budget</t>
  </si>
  <si>
    <t>Average HC Benefit / FTE</t>
  </si>
  <si>
    <t>INSTRUCTIONAL STAFF OVERVIEW</t>
  </si>
  <si>
    <t>HC Benefit Tiers</t>
  </si>
  <si>
    <t>1) QB</t>
  </si>
  <si>
    <t>2) QB + Children</t>
  </si>
  <si>
    <t>3) QB + Spouse</t>
  </si>
  <si>
    <t>4) QB + Family</t>
  </si>
  <si>
    <t>5) Not participating</t>
  </si>
  <si>
    <t>INSTRUCTIONAL STAFF MODEL</t>
  </si>
  <si>
    <t>Instructional Staff Model</t>
  </si>
  <si>
    <t>Delta - Model vs. Budget</t>
  </si>
  <si>
    <t>Enrichment</t>
  </si>
  <si>
    <t>Enrichment - Art-</t>
  </si>
  <si>
    <t>HC Benefit Cost</t>
  </si>
  <si>
    <t>HC Benefit Tier</t>
  </si>
  <si>
    <t>Enrichment - PE</t>
  </si>
  <si>
    <t>Enrichment - ES3</t>
  </si>
  <si>
    <t>Enrichment - MS1</t>
  </si>
  <si>
    <t>Enrichment - MS2</t>
  </si>
  <si>
    <t>Enrichment - MS3</t>
  </si>
  <si>
    <t>Enrichment - MS4</t>
  </si>
  <si>
    <t>Special Education</t>
  </si>
  <si>
    <t>Special Education - MS1</t>
  </si>
  <si>
    <t>Special Education - MS2</t>
  </si>
  <si>
    <t>English Language Learners -1</t>
  </si>
  <si>
    <t>English Language Learners -2</t>
  </si>
  <si>
    <t>English Language Learners</t>
  </si>
  <si>
    <t>Special Education - MS3</t>
  </si>
  <si>
    <t>Class 1 - Math</t>
  </si>
  <si>
    <t>Class 2 - ELA</t>
  </si>
  <si>
    <t>Class 3 - SS (5/6)</t>
  </si>
  <si>
    <t>Sixth Grade</t>
  </si>
  <si>
    <t>Class 2 ELA</t>
  </si>
  <si>
    <t>Class 3- Science</t>
  </si>
  <si>
    <t>Class 3 - Lead</t>
  </si>
  <si>
    <t>Class 3 - Co</t>
  </si>
  <si>
    <t>Seventh Grade</t>
  </si>
  <si>
    <t>Class 1 - Lead</t>
  </si>
  <si>
    <t>Class 1 - Co</t>
  </si>
  <si>
    <t>Class 2 - Lead</t>
  </si>
  <si>
    <t>Class 2 - Co</t>
  </si>
  <si>
    <t>Eighth Grade</t>
  </si>
  <si>
    <t>Ninth Grade</t>
  </si>
  <si>
    <t>Tenth Grade</t>
  </si>
  <si>
    <t>Subject 1</t>
  </si>
  <si>
    <t>Subject 2</t>
  </si>
  <si>
    <t>Subject 3</t>
  </si>
  <si>
    <t>Subject 4</t>
  </si>
  <si>
    <t>Eleventh Grade</t>
  </si>
  <si>
    <t>Twelth Grade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</si>
</sst>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_(&quot;$&quot;* #,##0_);_(&quot;$&quot;* \(#,##0\);_(&quot;$&quot;* &quot;-&quot;??_);_(@_)"/>
    <numFmt numFmtId="165" formatCode="_(* #,##0_);_(* \(#,##0\);_(* &quot;-&quot;_);_(@_)"/>
    <numFmt numFmtId="166" formatCode="_(&quot;$&quot;* #,##0_);_(&quot;$&quot;* \(#,##0\);_(&quot;$&quot;* &quot;-&quot;?_);_(@_)"/>
    <numFmt numFmtId="167" formatCode="_(&quot;$&quot;* #,##0_);_(&quot;$&quot;* \(#,##0\);_(&quot;$&quot;* &quot;-&quot;_);_(@_)"/>
    <numFmt numFmtId="168" formatCode="_-&quot;$&quot;* #,##0.00_-;\-&quot;$&quot;* #,##0.00_-;_-&quot;$&quot;* &quot;-&quot;??_-;_-@"/>
    <numFmt numFmtId="169" formatCode="0.0%"/>
    <numFmt numFmtId="170" formatCode="_(* #,##0.0_);_(* \(#,##0.0\);_(* &quot;-&quot;_);_(@_)"/>
    <numFmt numFmtId="171" formatCode="0.000"/>
    <numFmt numFmtId="172" formatCode="&quot;$&quot;#,##0;[Red]&quot;$&quot;#,##0"/>
    <numFmt numFmtId="173" formatCode="_(&quot;$&quot;* #,##0.00_);_(&quot;$&quot;* \(#,##0.00\);_(&quot;$&quot;* &quot;-&quot;??_);_(@_)"/>
    <numFmt numFmtId="174" formatCode="0\x"/>
    <numFmt numFmtId="175" formatCode="_-&quot;$&quot;* #,##0_-;\-&quot;$&quot;* #,##0_-;_-&quot;$&quot;* &quot;-&quot;_-;_-@"/>
    <numFmt numFmtId="176" formatCode="_-* #,##0_-;\-* #,##0_-;_-* &quot;-&quot;_-;_-@"/>
    <numFmt numFmtId="177" formatCode="0.0000%"/>
  </numFmts>
  <fonts count="37">
    <font>
      <sz val="11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>
      <b/>
      <i/>
      <sz val="11.0"/>
      <color theme="1"/>
      <name val="Arial"/>
    </font>
    <font>
      <i/>
      <sz val="11.0"/>
      <color theme="1"/>
      <name val="Arial"/>
    </font>
    <font/>
    <font>
      <b/>
      <sz val="11.0"/>
      <color rgb="FFFFFFFF"/>
      <name val="Arial"/>
    </font>
    <font>
      <sz val="11.0"/>
      <color rgb="FFFFFFFF"/>
      <name val="Arial"/>
    </font>
    <font>
      <b/>
      <sz val="11.0"/>
      <color theme="0"/>
      <name val="Arial"/>
    </font>
    <font>
      <sz val="11.0"/>
      <color theme="0"/>
      <name val="Arial"/>
    </font>
    <font>
      <b/>
      <u/>
      <sz val="11.0"/>
      <color theme="1"/>
      <name val="Arial"/>
    </font>
    <font>
      <sz val="11.0"/>
      <color theme="4"/>
      <name val="Arial"/>
    </font>
    <font>
      <sz val="11.0"/>
      <color rgb="FF4472C4"/>
      <name val="Arial"/>
    </font>
    <font>
      <b/>
      <sz val="11.0"/>
      <color rgb="FF0070C0"/>
      <name val="Arial"/>
    </font>
    <font>
      <i/>
      <sz val="11.0"/>
      <color theme="4"/>
      <name val="Arial"/>
    </font>
    <font>
      <i/>
      <sz val="11.0"/>
      <color rgb="FF4A86E8"/>
      <name val="Arial"/>
    </font>
    <font>
      <sz val="11.0"/>
      <color rgb="FF4A86E8"/>
      <name val="Arial"/>
    </font>
    <font>
      <sz val="11.0"/>
      <color rgb="FF9900FF"/>
      <name val="Arial"/>
    </font>
    <font>
      <b/>
      <color rgb="FF000000"/>
      <name val="Arial"/>
    </font>
    <font>
      <sz val="11.0"/>
      <color rgb="FF000000"/>
      <name val="Arial"/>
    </font>
    <font>
      <u/>
      <sz val="11.0"/>
      <color theme="1"/>
      <name val="Arial"/>
    </font>
    <font>
      <b/>
      <i/>
      <sz val="11.0"/>
      <color rgb="FF0070C0"/>
      <name val="Arial"/>
    </font>
    <font>
      <b/>
      <i/>
      <sz val="11.0"/>
      <color theme="4"/>
      <name val="Arial"/>
    </font>
    <font>
      <i/>
      <sz val="11.0"/>
      <color rgb="FF4472C4"/>
      <name val="Arial"/>
    </font>
    <font>
      <i/>
      <sz val="11.0"/>
      <color rgb="FF0070C0"/>
      <name val="Arial"/>
    </font>
    <font>
      <b/>
      <sz val="11.0"/>
      <color rgb="FF000000"/>
      <name val="Arial"/>
    </font>
    <font>
      <i/>
      <sz val="11.0"/>
      <color rgb="FF9900FF"/>
      <name val="Arial"/>
    </font>
    <font>
      <sz val="11.0"/>
      <color rgb="FF0070C0"/>
      <name val="Arial"/>
    </font>
    <font>
      <i/>
      <sz val="11.0"/>
      <color rgb="FF000000"/>
      <name val="Arial"/>
    </font>
    <font>
      <i/>
      <sz val="11.0"/>
      <color rgb="FFFF0000"/>
      <name val="Arial"/>
    </font>
    <font>
      <sz val="11.0"/>
      <color rgb="FFFF0000"/>
      <name val="Arial"/>
    </font>
    <font>
      <b/>
      <u/>
      <sz val="11.0"/>
      <color theme="1"/>
      <name val="Arial"/>
    </font>
    <font>
      <b/>
      <i/>
      <sz val="11.0"/>
      <color theme="0"/>
      <name val="Arial"/>
    </font>
    <font>
      <b/>
      <sz val="11.0"/>
      <color rgb="FF4472C4"/>
      <name val="Arial"/>
    </font>
    <font>
      <b/>
      <sz val="11.0"/>
      <color rgb="FF4A86E8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43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 style="dotted">
        <color rgb="FF000000"/>
      </bottom>
    </border>
    <border>
      <left style="thin">
        <color rgb="FF000000"/>
      </left>
      <right style="thin">
        <color rgb="FF000000"/>
      </right>
      <top/>
      <bottom style="dotted">
        <color rgb="FF000000"/>
      </bottom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tted">
        <color rgb="FF000000"/>
      </right>
    </border>
    <border>
      <left style="thin">
        <color rgb="FF000000"/>
      </left>
      <right style="thin">
        <color rgb="FF000000"/>
      </right>
    </border>
    <border>
      <right style="dotted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dotted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dotted">
        <color rgb="FF000000"/>
      </left>
    </border>
    <border>
      <left style="dotted">
        <color rgb="FF000000"/>
      </left>
      <top style="thin">
        <color rgb="FF000000"/>
      </top>
    </border>
    <border>
      <left/>
      <right/>
      <top/>
      <bottom style="dotted">
        <color rgb="FF000000"/>
      </bottom>
    </border>
  </borders>
  <cellStyleXfs count="1">
    <xf borderId="0" fillId="0" fontId="0" numFmtId="0" applyAlignment="1" applyFont="1"/>
  </cellStyleXfs>
  <cellXfs count="3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2" numFmtId="164" xfId="0" applyFont="1" applyNumberForma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quotePrefix="1"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4" numFmtId="0" xfId="0" applyBorder="1" applyFont="1"/>
    <xf borderId="2" fillId="2" fontId="3" numFmtId="0" xfId="0" applyAlignment="1" applyBorder="1" applyFill="1" applyFont="1">
      <alignment horizontal="center"/>
    </xf>
    <xf borderId="1" fillId="0" fontId="3" numFmtId="0" xfId="0" applyAlignment="1" applyBorder="1" applyFont="1">
      <alignment horizontal="center"/>
    </xf>
    <xf borderId="1" fillId="0" fontId="7" numFmtId="0" xfId="0" applyBorder="1" applyFont="1"/>
    <xf borderId="3" fillId="0" fontId="3" numFmtId="0" xfId="0" applyBorder="1" applyFont="1"/>
    <xf borderId="4" fillId="2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5" numFmtId="0" xfId="0" applyBorder="1" applyFont="1"/>
    <xf borderId="4" fillId="2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6" fillId="2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6" fillId="2" fontId="3" numFmtId="165" xfId="0" applyBorder="1" applyFont="1" applyNumberFormat="1"/>
    <xf borderId="0" fillId="0" fontId="3" numFmtId="165" xfId="0" applyFont="1" applyNumberFormat="1"/>
    <xf borderId="6" fillId="2" fontId="3" numFmtId="164" xfId="0" applyBorder="1" applyFont="1" applyNumberFormat="1"/>
    <xf borderId="0" fillId="0" fontId="3" numFmtId="164" xfId="0" applyFont="1" applyNumberFormat="1"/>
    <xf borderId="0" fillId="0" fontId="6" numFmtId="0" xfId="0" applyAlignment="1" applyFont="1">
      <alignment horizontal="left"/>
    </xf>
    <xf borderId="0" fillId="0" fontId="6" numFmtId="166" xfId="0" applyFont="1" applyNumberFormat="1"/>
    <xf borderId="7" fillId="3" fontId="8" numFmtId="0" xfId="0" applyBorder="1" applyFill="1" applyFont="1"/>
    <xf borderId="2" fillId="3" fontId="9" numFmtId="0" xfId="0" applyBorder="1" applyFont="1"/>
    <xf borderId="7" fillId="3" fontId="9" numFmtId="0" xfId="0" applyBorder="1" applyFont="1"/>
    <xf borderId="6" fillId="2" fontId="4" numFmtId="165" xfId="0" applyAlignment="1" applyBorder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8" fillId="0" fontId="3" numFmtId="0" xfId="0" applyBorder="1" applyFont="1"/>
    <xf borderId="9" fillId="2" fontId="3" numFmtId="165" xfId="0" applyBorder="1" applyFont="1" applyNumberFormat="1"/>
    <xf borderId="8" fillId="0" fontId="3" numFmtId="165" xfId="0" applyBorder="1" applyFont="1" applyNumberFormat="1"/>
    <xf borderId="6" fillId="2" fontId="4" numFmtId="167" xfId="0" applyAlignment="1" applyBorder="1" applyFont="1" applyNumberFormat="1">
      <alignment horizontal="center"/>
    </xf>
    <xf borderId="0" fillId="0" fontId="4" numFmtId="167" xfId="0" applyAlignment="1" applyFont="1" applyNumberFormat="1">
      <alignment horizontal="center"/>
    </xf>
    <xf borderId="9" fillId="2" fontId="3" numFmtId="164" xfId="0" applyBorder="1" applyFont="1" applyNumberFormat="1"/>
    <xf borderId="8" fillId="0" fontId="3" numFmtId="164" xfId="0" applyBorder="1" applyFont="1" applyNumberFormat="1"/>
    <xf borderId="0" fillId="0" fontId="6" numFmtId="164" xfId="0" applyAlignment="1" applyFont="1" applyNumberFormat="1">
      <alignment horizontal="center"/>
    </xf>
    <xf borderId="6" fillId="2" fontId="4" numFmtId="0" xfId="0" applyBorder="1" applyFont="1"/>
    <xf borderId="7" fillId="3" fontId="10" numFmtId="0" xfId="0" applyBorder="1" applyFont="1"/>
    <xf borderId="2" fillId="3" fontId="11" numFmtId="0" xfId="0" applyBorder="1" applyFont="1"/>
    <xf borderId="7" fillId="3" fontId="11" numFmtId="0" xfId="0" applyBorder="1" applyFont="1"/>
    <xf borderId="0" fillId="0" fontId="12" numFmtId="0" xfId="0" applyFont="1"/>
    <xf borderId="6" fillId="2" fontId="13" numFmtId="165" xfId="0" applyBorder="1" applyFont="1" applyNumberFormat="1"/>
    <xf borderId="0" fillId="0" fontId="13" numFmtId="165" xfId="0" applyFont="1" applyNumberFormat="1"/>
    <xf borderId="10" fillId="0" fontId="4" numFmtId="0" xfId="0" applyBorder="1" applyFont="1"/>
    <xf borderId="11" fillId="2" fontId="13" numFmtId="165" xfId="0" applyBorder="1" applyFont="1" applyNumberFormat="1"/>
    <xf borderId="10" fillId="0" fontId="13" numFmtId="165" xfId="0" applyBorder="1" applyFont="1" applyNumberFormat="1"/>
    <xf borderId="0" fillId="0" fontId="14" numFmtId="165" xfId="0" applyFont="1" applyNumberFormat="1"/>
    <xf borderId="12" fillId="0" fontId="4" numFmtId="0" xfId="0" applyBorder="1" applyFont="1"/>
    <xf borderId="13" fillId="2" fontId="13" numFmtId="165" xfId="0" applyBorder="1" applyFont="1" applyNumberFormat="1"/>
    <xf borderId="12" fillId="0" fontId="13" numFmtId="165" xfId="0" applyBorder="1" applyFont="1" applyNumberFormat="1"/>
    <xf borderId="6" fillId="2" fontId="15" numFmtId="165" xfId="0" applyBorder="1" applyFont="1" applyNumberFormat="1"/>
    <xf borderId="0" fillId="0" fontId="15" numFmtId="165" xfId="0" applyAlignment="1" applyFont="1" applyNumberFormat="1">
      <alignment readingOrder="0"/>
    </xf>
    <xf borderId="0" fillId="0" fontId="15" numFmtId="165" xfId="0" applyFont="1" applyNumberFormat="1"/>
    <xf borderId="6" fillId="2" fontId="4" numFmtId="165" xfId="0" applyBorder="1" applyFont="1" applyNumberFormat="1"/>
    <xf borderId="0" fillId="0" fontId="4" numFmtId="165" xfId="0" applyFont="1" applyNumberFormat="1"/>
    <xf borderId="11" fillId="2" fontId="4" numFmtId="165" xfId="0" applyBorder="1" applyFont="1" applyNumberFormat="1"/>
    <xf borderId="10" fillId="0" fontId="4" numFmtId="165" xfId="0" applyBorder="1" applyFont="1" applyNumberFormat="1"/>
    <xf borderId="12" fillId="0" fontId="4" numFmtId="165" xfId="0" applyBorder="1" applyFont="1" applyNumberFormat="1"/>
    <xf borderId="1" fillId="0" fontId="3" numFmtId="0" xfId="0" applyBorder="1" applyFont="1"/>
    <xf borderId="2" fillId="2" fontId="3" numFmtId="165" xfId="0" applyBorder="1" applyFont="1" applyNumberFormat="1"/>
    <xf borderId="1" fillId="0" fontId="3" numFmtId="165" xfId="0" applyBorder="1" applyFont="1" applyNumberFormat="1"/>
    <xf borderId="0" fillId="0" fontId="3" numFmtId="9" xfId="0" applyFont="1" applyNumberFormat="1"/>
    <xf borderId="6" fillId="2" fontId="16" numFmtId="9" xfId="0" applyBorder="1" applyFont="1" applyNumberFormat="1"/>
    <xf borderId="0" fillId="0" fontId="16" numFmtId="9" xfId="0" applyFont="1" applyNumberFormat="1"/>
    <xf borderId="0" fillId="0" fontId="17" numFmtId="9" xfId="0" applyFont="1" applyNumberFormat="1"/>
    <xf quotePrefix="1" borderId="0" fillId="0" fontId="6" numFmtId="0" xfId="0" applyFont="1"/>
    <xf borderId="9" fillId="2" fontId="3" numFmtId="9" xfId="0" applyBorder="1" applyFont="1" applyNumberFormat="1"/>
    <xf borderId="8" fillId="0" fontId="3" numFmtId="9" xfId="0" applyBorder="1" applyFont="1" applyNumberFormat="1"/>
    <xf borderId="0" fillId="0" fontId="18" numFmtId="0" xfId="0" applyFont="1"/>
    <xf borderId="6" fillId="2" fontId="18" numFmtId="0" xfId="0" applyBorder="1" applyFont="1"/>
    <xf borderId="0" fillId="0" fontId="4" numFmtId="168" xfId="0" applyFont="1" applyNumberFormat="1"/>
    <xf borderId="0" fillId="0" fontId="19" numFmtId="0" xfId="0" applyFont="1"/>
    <xf borderId="6" fillId="2" fontId="19" numFmtId="164" xfId="0" applyBorder="1" applyFont="1" applyNumberFormat="1"/>
    <xf borderId="0" fillId="0" fontId="20" numFmtId="164" xfId="0" applyAlignment="1" applyFont="1" applyNumberFormat="1">
      <alignment horizontal="right"/>
    </xf>
    <xf borderId="0" fillId="0" fontId="19" numFmtId="166" xfId="0" applyFont="1" applyNumberFormat="1"/>
    <xf borderId="0" fillId="0" fontId="16" numFmtId="169" xfId="0" applyFont="1" applyNumberFormat="1"/>
    <xf borderId="6" fillId="2" fontId="13" numFmtId="164" xfId="0" applyBorder="1" applyFont="1" applyNumberFormat="1"/>
    <xf borderId="0" fillId="0" fontId="14" numFmtId="164" xfId="0" applyFont="1" applyNumberFormat="1"/>
    <xf borderId="0" fillId="0" fontId="4" numFmtId="166" xfId="0" applyFont="1" applyNumberFormat="1"/>
    <xf borderId="0" fillId="0" fontId="17" numFmtId="0" xfId="0" applyAlignment="1" applyFont="1">
      <alignment horizontal="left"/>
    </xf>
    <xf borderId="6" fillId="2" fontId="17" numFmtId="169" xfId="0" applyBorder="1" applyFont="1" applyNumberFormat="1"/>
    <xf borderId="0" fillId="0" fontId="17" numFmtId="169" xfId="0" applyFont="1" applyNumberFormat="1"/>
    <xf borderId="6" fillId="2" fontId="16" numFmtId="169" xfId="0" applyBorder="1" applyFont="1" applyNumberFormat="1"/>
    <xf borderId="0" fillId="0" fontId="13" numFmtId="164" xfId="0" applyFont="1" applyNumberFormat="1"/>
    <xf borderId="9" fillId="2" fontId="3" numFmtId="166" xfId="0" applyBorder="1" applyFont="1" applyNumberFormat="1"/>
    <xf borderId="8" fillId="0" fontId="3" numFmtId="166" xfId="0" applyBorder="1" applyFont="1" applyNumberFormat="1"/>
    <xf borderId="0" fillId="0" fontId="21" numFmtId="0" xfId="0" applyFont="1"/>
    <xf borderId="6" fillId="2" fontId="21" numFmtId="164" xfId="0" applyBorder="1" applyFont="1" applyNumberFormat="1"/>
    <xf borderId="0" fillId="0" fontId="21" numFmtId="164" xfId="0" applyFont="1" applyNumberFormat="1"/>
    <xf borderId="6" fillId="2" fontId="21" numFmtId="165" xfId="0" applyBorder="1" applyFont="1" applyNumberFormat="1"/>
    <xf borderId="0" fillId="0" fontId="21" numFmtId="165" xfId="0" applyFont="1" applyNumberFormat="1"/>
    <xf borderId="0" fillId="0" fontId="21" numFmtId="165" xfId="0" applyAlignment="1" applyFont="1" applyNumberFormat="1">
      <alignment readingOrder="0"/>
    </xf>
    <xf borderId="6" fillId="2" fontId="21" numFmtId="165" xfId="0" applyAlignment="1" applyBorder="1" applyFont="1" applyNumberFormat="1">
      <alignment readingOrder="0"/>
    </xf>
    <xf borderId="6" fillId="2" fontId="18" numFmtId="165" xfId="0" applyBorder="1" applyFont="1" applyNumberFormat="1"/>
    <xf borderId="0" fillId="0" fontId="18" numFmtId="165" xfId="0" applyFont="1" applyNumberFormat="1"/>
    <xf borderId="2" fillId="2" fontId="3" numFmtId="166" xfId="0" applyBorder="1" applyFont="1" applyNumberFormat="1"/>
    <xf borderId="1" fillId="0" fontId="3" numFmtId="166" xfId="0" applyBorder="1" applyFont="1" applyNumberFormat="1"/>
    <xf borderId="0" fillId="0" fontId="22" numFmtId="0" xfId="0" applyFont="1"/>
    <xf borderId="6" fillId="2" fontId="4" numFmtId="170" xfId="0" applyBorder="1" applyFont="1" applyNumberFormat="1"/>
    <xf borderId="0" fillId="0" fontId="4" numFmtId="170" xfId="0" applyFont="1" applyNumberFormat="1"/>
    <xf borderId="9" fillId="2" fontId="3" numFmtId="170" xfId="0" applyBorder="1" applyFont="1" applyNumberFormat="1"/>
    <xf borderId="8" fillId="0" fontId="3" numFmtId="170" xfId="0" applyBorder="1" applyFont="1" applyNumberFormat="1"/>
    <xf borderId="6" fillId="2" fontId="3" numFmtId="166" xfId="0" applyBorder="1" applyFont="1" applyNumberFormat="1"/>
    <xf borderId="0" fillId="0" fontId="3" numFmtId="166" xfId="0" applyFont="1" applyNumberFormat="1"/>
    <xf borderId="6" fillId="2" fontId="6" numFmtId="166" xfId="0" applyBorder="1" applyFont="1" applyNumberFormat="1"/>
    <xf borderId="6" fillId="2" fontId="6" numFmtId="9" xfId="0" applyAlignment="1" applyBorder="1" applyFont="1" applyNumberFormat="1">
      <alignment horizontal="right"/>
    </xf>
    <xf borderId="0" fillId="0" fontId="6" numFmtId="9" xfId="0" applyAlignment="1" applyFont="1" applyNumberFormat="1">
      <alignment horizontal="right"/>
    </xf>
    <xf borderId="8" fillId="0" fontId="6" numFmtId="0" xfId="0" applyAlignment="1" applyBorder="1" applyFont="1">
      <alignment horizontal="left"/>
    </xf>
    <xf borderId="9" fillId="2" fontId="6" numFmtId="166" xfId="0" applyBorder="1" applyFont="1" applyNumberFormat="1"/>
    <xf borderId="8" fillId="0" fontId="6" numFmtId="166" xfId="0" applyBorder="1" applyFont="1" applyNumberFormat="1"/>
    <xf borderId="6" fillId="2" fontId="19" numFmtId="170" xfId="0" applyBorder="1" applyFont="1" applyNumberFormat="1"/>
    <xf borderId="0" fillId="0" fontId="19" numFmtId="170" xfId="0" applyFont="1" applyNumberFormat="1"/>
    <xf borderId="0" fillId="0" fontId="4" numFmtId="0" xfId="0" applyAlignment="1" applyFont="1">
      <alignment readingOrder="0"/>
    </xf>
    <xf borderId="6" fillId="2" fontId="19" numFmtId="170" xfId="0" applyAlignment="1" applyBorder="1" applyFont="1" applyNumberFormat="1">
      <alignment readingOrder="0"/>
    </xf>
    <xf borderId="0" fillId="0" fontId="19" numFmtId="170" xfId="0" applyAlignment="1" applyFont="1" applyNumberFormat="1">
      <alignment readingOrder="0"/>
    </xf>
    <xf borderId="6" fillId="2" fontId="13" numFmtId="170" xfId="0" applyBorder="1" applyFont="1" applyNumberFormat="1"/>
    <xf borderId="0" fillId="0" fontId="14" numFmtId="170" xfId="0" applyFont="1" applyNumberFormat="1"/>
    <xf borderId="11" fillId="2" fontId="13" numFmtId="170" xfId="0" applyBorder="1" applyFont="1" applyNumberFormat="1"/>
    <xf borderId="10" fillId="0" fontId="14" numFmtId="170" xfId="0" applyBorder="1" applyFont="1" applyNumberFormat="1"/>
    <xf borderId="10" fillId="0" fontId="19" numFmtId="170" xfId="0" applyBorder="1" applyFont="1" applyNumberFormat="1"/>
    <xf borderId="13" fillId="2" fontId="13" numFmtId="170" xfId="0" applyBorder="1" applyFont="1" applyNumberFormat="1"/>
    <xf borderId="12" fillId="0" fontId="4" numFmtId="170" xfId="0" applyBorder="1" applyFont="1" applyNumberFormat="1"/>
    <xf borderId="0" fillId="0" fontId="5" numFmtId="0" xfId="0" applyAlignment="1" applyFont="1">
      <alignment horizontal="left"/>
    </xf>
    <xf borderId="6" fillId="2" fontId="23" numFmtId="170" xfId="0" applyBorder="1" applyFont="1" applyNumberFormat="1"/>
    <xf borderId="0" fillId="0" fontId="23" numFmtId="170" xfId="0" applyFont="1" applyNumberFormat="1"/>
    <xf borderId="6" fillId="2" fontId="24" numFmtId="170" xfId="0" applyBorder="1" applyFont="1" applyNumberFormat="1"/>
    <xf borderId="0" fillId="0" fontId="6" numFmtId="170" xfId="0" applyFont="1" applyNumberFormat="1"/>
    <xf borderId="2" fillId="2" fontId="3" numFmtId="170" xfId="0" applyBorder="1" applyFont="1" applyNumberFormat="1"/>
    <xf borderId="1" fillId="0" fontId="3" numFmtId="170" xfId="0" applyBorder="1" applyFont="1" applyNumberFormat="1"/>
    <xf borderId="0" fillId="0" fontId="4" numFmtId="171" xfId="0" applyFont="1" applyNumberFormat="1"/>
    <xf borderId="6" fillId="2" fontId="14" numFmtId="164" xfId="0" applyBorder="1" applyFont="1" applyNumberFormat="1"/>
    <xf borderId="0" fillId="0" fontId="14" numFmtId="164" xfId="0" applyAlignment="1" applyFont="1" applyNumberFormat="1">
      <alignment readingOrder="0"/>
    </xf>
    <xf borderId="6" fillId="2" fontId="14" numFmtId="164" xfId="0" applyAlignment="1" applyBorder="1" applyFont="1" applyNumberFormat="1">
      <alignment readingOrder="0"/>
    </xf>
    <xf borderId="0" fillId="0" fontId="4" numFmtId="166" xfId="0" applyAlignment="1" applyFont="1" applyNumberFormat="1">
      <alignment readingOrder="0"/>
    </xf>
    <xf borderId="0" fillId="4" fontId="19" numFmtId="164" xfId="0" applyAlignment="1" applyFill="1" applyFont="1" applyNumberFormat="1">
      <alignment readingOrder="0"/>
    </xf>
    <xf borderId="0" fillId="4" fontId="14" numFmtId="164" xfId="0" applyAlignment="1" applyFont="1" applyNumberFormat="1">
      <alignment readingOrder="0"/>
    </xf>
    <xf borderId="0" fillId="0" fontId="3" numFmtId="10" xfId="0" applyFont="1" applyNumberFormat="1"/>
    <xf quotePrefix="1" borderId="0" fillId="0" fontId="4" numFmtId="0" xfId="0" applyFont="1"/>
    <xf borderId="6" fillId="2" fontId="4" numFmtId="167" xfId="0" applyBorder="1" applyFont="1" applyNumberFormat="1"/>
    <xf borderId="0" fillId="0" fontId="4" numFmtId="167" xfId="0" applyFont="1" applyNumberFormat="1"/>
    <xf borderId="6" fillId="2" fontId="25" numFmtId="169" xfId="0" applyAlignment="1" applyBorder="1" applyFont="1" applyNumberFormat="1">
      <alignment readingOrder="0"/>
    </xf>
    <xf borderId="0" fillId="0" fontId="25" numFmtId="169" xfId="0" applyAlignment="1" applyFont="1" applyNumberFormat="1">
      <alignment readingOrder="0"/>
    </xf>
    <xf borderId="0" fillId="0" fontId="25" numFmtId="169" xfId="0" applyFont="1" applyNumberFormat="1"/>
    <xf borderId="12" fillId="0" fontId="6" numFmtId="0" xfId="0" applyAlignment="1" applyBorder="1" applyFont="1">
      <alignment horizontal="left"/>
    </xf>
    <xf borderId="13" fillId="2" fontId="16" numFmtId="172" xfId="0" applyBorder="1" applyFont="1" applyNumberFormat="1"/>
    <xf borderId="12" fillId="0" fontId="16" numFmtId="172" xfId="0" applyBorder="1" applyFont="1" applyNumberFormat="1"/>
    <xf borderId="6" fillId="2" fontId="6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6" numFmtId="169" xfId="0" applyFont="1" applyNumberFormat="1"/>
    <xf borderId="6" fillId="2" fontId="16" numFmtId="172" xfId="0" applyBorder="1" applyFont="1" applyNumberFormat="1"/>
    <xf borderId="0" fillId="0" fontId="16" numFmtId="172" xfId="0" applyFont="1" applyNumberFormat="1"/>
    <xf borderId="0" fillId="0" fontId="26" numFmtId="169" xfId="0" applyAlignment="1" applyFont="1" applyNumberFormat="1">
      <alignment readingOrder="0"/>
    </xf>
    <xf borderId="0" fillId="0" fontId="26" numFmtId="169" xfId="0" applyFont="1" applyNumberFormat="1"/>
    <xf borderId="6" fillId="2" fontId="25" numFmtId="0" xfId="0" applyAlignment="1" applyBorder="1" applyFont="1">
      <alignment readingOrder="0"/>
    </xf>
    <xf borderId="0" fillId="0" fontId="25" numFmtId="0" xfId="0" applyAlignment="1" applyFont="1">
      <alignment readingOrder="0"/>
    </xf>
    <xf borderId="10" fillId="0" fontId="6" numFmtId="0" xfId="0" applyAlignment="1" applyBorder="1" applyFont="1">
      <alignment horizontal="left"/>
    </xf>
    <xf borderId="11" fillId="2" fontId="16" numFmtId="169" xfId="0" applyBorder="1" applyFont="1" applyNumberFormat="1"/>
    <xf borderId="10" fillId="0" fontId="25" numFmtId="0" xfId="0" applyAlignment="1" applyBorder="1" applyFont="1">
      <alignment readingOrder="0"/>
    </xf>
    <xf borderId="10" fillId="0" fontId="25" numFmtId="169" xfId="0" applyAlignment="1" applyBorder="1" applyFont="1" applyNumberFormat="1">
      <alignment readingOrder="0"/>
    </xf>
    <xf borderId="6" fillId="2" fontId="6" numFmtId="9" xfId="0" applyBorder="1" applyFont="1" applyNumberFormat="1"/>
    <xf borderId="0" fillId="0" fontId="6" numFmtId="9" xfId="0" applyFont="1" applyNumberFormat="1"/>
    <xf borderId="6" fillId="2" fontId="4" numFmtId="164" xfId="0" applyBorder="1" applyFont="1" applyNumberFormat="1"/>
    <xf borderId="0" fillId="0" fontId="4" numFmtId="164" xfId="0" applyFont="1" applyNumberFormat="1"/>
    <xf borderId="0" fillId="0" fontId="25" numFmtId="172" xfId="0" applyAlignment="1" applyFont="1" applyNumberFormat="1">
      <alignment readingOrder="0"/>
    </xf>
    <xf borderId="6" fillId="2" fontId="18" numFmtId="164" xfId="0" applyBorder="1" applyFont="1" applyNumberFormat="1"/>
    <xf borderId="0" fillId="0" fontId="18" numFmtId="164" xfId="0" applyFont="1" applyNumberFormat="1"/>
    <xf borderId="6" fillId="2" fontId="18" numFmtId="164" xfId="0" applyAlignment="1" applyBorder="1" applyFont="1" applyNumberFormat="1">
      <alignment readingOrder="0"/>
    </xf>
    <xf borderId="6" fillId="2" fontId="17" numFmtId="172" xfId="0" applyBorder="1" applyFont="1" applyNumberFormat="1"/>
    <xf borderId="0" fillId="0" fontId="17" numFmtId="172" xfId="0" applyFont="1" applyNumberFormat="1"/>
    <xf borderId="5" fillId="0" fontId="6" numFmtId="0" xfId="0" applyAlignment="1" applyBorder="1" applyFont="1">
      <alignment horizontal="left"/>
    </xf>
    <xf borderId="4" fillId="2" fontId="6" numFmtId="166" xfId="0" applyBorder="1" applyFont="1" applyNumberFormat="1"/>
    <xf borderId="5" fillId="0" fontId="6" numFmtId="166" xfId="0" applyBorder="1" applyFont="1" applyNumberFormat="1"/>
    <xf borderId="4" fillId="2" fontId="6" numFmtId="9" xfId="0" applyBorder="1" applyFont="1" applyNumberFormat="1"/>
    <xf borderId="5" fillId="0" fontId="6" numFmtId="9" xfId="0" applyBorder="1" applyFont="1" applyNumberFormat="1"/>
    <xf borderId="0" fillId="0" fontId="6" numFmtId="164" xfId="0" applyFont="1" applyNumberFormat="1"/>
    <xf borderId="6" fillId="2" fontId="3" numFmtId="167" xfId="0" applyBorder="1" applyFont="1" applyNumberFormat="1"/>
    <xf borderId="0" fillId="0" fontId="3" numFmtId="167" xfId="0" applyFont="1" applyNumberFormat="1"/>
    <xf borderId="6" fillId="2" fontId="16" numFmtId="165" xfId="0" applyBorder="1" applyFont="1" applyNumberFormat="1"/>
    <xf borderId="0" fillId="0" fontId="16" numFmtId="165" xfId="0" applyFont="1" applyNumberFormat="1"/>
    <xf borderId="0" fillId="0" fontId="27" numFmtId="0" xfId="0" applyFont="1"/>
    <xf borderId="6" fillId="2" fontId="27" numFmtId="165" xfId="0" applyBorder="1" applyFont="1" applyNumberFormat="1"/>
    <xf borderId="0" fillId="0" fontId="27" numFmtId="165" xfId="0" applyFont="1" applyNumberFormat="1"/>
    <xf borderId="0" fillId="0" fontId="4" numFmtId="164" xfId="0" applyAlignment="1" applyFont="1" applyNumberFormat="1">
      <alignment readingOrder="0"/>
    </xf>
    <xf borderId="6" fillId="2" fontId="17" numFmtId="164" xfId="0" applyBorder="1" applyFont="1" applyNumberFormat="1"/>
    <xf borderId="0" fillId="0" fontId="17" numFmtId="173" xfId="0" applyFont="1" applyNumberFormat="1"/>
    <xf borderId="0" fillId="0" fontId="28" numFmtId="0" xfId="0" applyAlignment="1" applyFont="1">
      <alignment horizontal="left"/>
    </xf>
    <xf borderId="6" fillId="2" fontId="28" numFmtId="164" xfId="0" applyBorder="1" applyFont="1" applyNumberFormat="1"/>
    <xf borderId="0" fillId="0" fontId="28" numFmtId="173" xfId="0" applyFont="1" applyNumberFormat="1"/>
    <xf borderId="6" fillId="2" fontId="25" numFmtId="164" xfId="0" applyBorder="1" applyFont="1" applyNumberFormat="1"/>
    <xf borderId="0" fillId="0" fontId="25" numFmtId="173" xfId="0" applyFont="1" applyNumberFormat="1"/>
    <xf borderId="6" fillId="2" fontId="25" numFmtId="9" xfId="0" applyBorder="1" applyFont="1" applyNumberFormat="1"/>
    <xf borderId="0" fillId="0" fontId="25" numFmtId="9" xfId="0" applyFont="1" applyNumberFormat="1"/>
    <xf borderId="0" fillId="0" fontId="19" numFmtId="164" xfId="0" applyFont="1" applyNumberFormat="1"/>
    <xf borderId="6" fillId="2" fontId="16" numFmtId="164" xfId="0" applyBorder="1" applyFont="1" applyNumberFormat="1"/>
    <xf borderId="0" fillId="0" fontId="16" numFmtId="164" xfId="0" applyFont="1" applyNumberFormat="1"/>
    <xf borderId="9" fillId="2" fontId="3" numFmtId="167" xfId="0" applyBorder="1" applyFont="1" applyNumberFormat="1"/>
    <xf borderId="8" fillId="0" fontId="3" numFmtId="167" xfId="0" applyBorder="1" applyFont="1" applyNumberFormat="1"/>
    <xf borderId="6" fillId="2" fontId="14" numFmtId="167" xfId="0" applyAlignment="1" applyBorder="1" applyFont="1" applyNumberFormat="1">
      <alignment readingOrder="0"/>
    </xf>
    <xf borderId="0" fillId="0" fontId="19" numFmtId="167" xfId="0" applyFont="1" applyNumberFormat="1"/>
    <xf borderId="6" fillId="2" fontId="13" numFmtId="167" xfId="0" applyBorder="1" applyFont="1" applyNumberFormat="1"/>
    <xf borderId="0" fillId="0" fontId="13" numFmtId="167" xfId="0" applyFont="1" applyNumberFormat="1"/>
    <xf borderId="6" fillId="2" fontId="26" numFmtId="169" xfId="0" applyBorder="1" applyFont="1" applyNumberFormat="1"/>
    <xf borderId="14" fillId="2" fontId="4" numFmtId="164" xfId="0" applyBorder="1" applyFont="1" applyNumberFormat="1"/>
    <xf borderId="15" fillId="0" fontId="4" numFmtId="164" xfId="0" applyBorder="1" applyFont="1" applyNumberFormat="1"/>
    <xf borderId="14" fillId="2" fontId="4" numFmtId="165" xfId="0" applyBorder="1" applyFont="1" applyNumberFormat="1"/>
    <xf borderId="15" fillId="0" fontId="4" numFmtId="165" xfId="0" applyBorder="1" applyFont="1" applyNumberFormat="1"/>
    <xf borderId="16" fillId="0" fontId="3" numFmtId="164" xfId="0" applyBorder="1" applyFont="1" applyNumberFormat="1"/>
    <xf borderId="14" fillId="2" fontId="6" numFmtId="164" xfId="0" applyBorder="1" applyFont="1" applyNumberFormat="1"/>
    <xf borderId="15" fillId="0" fontId="6" numFmtId="164" xfId="0" applyBorder="1" applyFont="1" applyNumberFormat="1"/>
    <xf borderId="0" fillId="0" fontId="29" numFmtId="165" xfId="0" applyFont="1" applyNumberFormat="1"/>
    <xf borderId="6" fillId="2" fontId="19" numFmtId="165" xfId="0" applyAlignment="1" applyBorder="1" applyFont="1" applyNumberFormat="1">
      <alignment readingOrder="0"/>
    </xf>
    <xf borderId="0" fillId="0" fontId="19" numFmtId="165" xfId="0" applyAlignment="1" applyFont="1" applyNumberFormat="1">
      <alignment readingOrder="0"/>
    </xf>
    <xf borderId="0" fillId="0" fontId="19" numFmtId="165" xfId="0" applyFont="1" applyNumberFormat="1"/>
    <xf borderId="6" fillId="2" fontId="19" numFmtId="165" xfId="0" applyBorder="1" applyFont="1" applyNumberFormat="1"/>
    <xf borderId="6" fillId="2" fontId="16" numFmtId="174" xfId="0" applyBorder="1" applyFont="1" applyNumberFormat="1"/>
    <xf borderId="0" fillId="0" fontId="16" numFmtId="174" xfId="0" applyFont="1" applyNumberFormat="1"/>
    <xf borderId="0" fillId="0" fontId="28" numFmtId="174" xfId="0" applyFont="1" applyNumberFormat="1"/>
    <xf borderId="0" fillId="0" fontId="28" numFmtId="172" xfId="0" applyFont="1" applyNumberFormat="1"/>
    <xf borderId="6" fillId="2" fontId="6" numFmtId="164" xfId="0" applyBorder="1" applyFont="1" applyNumberFormat="1"/>
    <xf borderId="9" fillId="2" fontId="27" numFmtId="164" xfId="0" applyBorder="1" applyFont="1" applyNumberFormat="1"/>
    <xf borderId="7" fillId="2" fontId="3" numFmtId="0" xfId="0" applyBorder="1" applyFont="1"/>
    <xf borderId="2" fillId="2" fontId="3" numFmtId="164" xfId="0" applyBorder="1" applyFont="1" applyNumberFormat="1"/>
    <xf borderId="7" fillId="2" fontId="3" numFmtId="164" xfId="0" applyBorder="1" applyFont="1" applyNumberFormat="1"/>
    <xf borderId="0" fillId="0" fontId="4" numFmtId="0" xfId="0" applyAlignment="1" applyFont="1">
      <alignment horizontal="left"/>
    </xf>
    <xf borderId="6" fillId="2" fontId="4" numFmtId="175" xfId="0" applyBorder="1" applyFont="1" applyNumberFormat="1"/>
    <xf borderId="0" fillId="0" fontId="4" numFmtId="175" xfId="0" applyFont="1" applyNumberFormat="1"/>
    <xf borderId="0" fillId="0" fontId="18" numFmtId="167" xfId="0" applyFont="1" applyNumberFormat="1"/>
    <xf borderId="6" fillId="2" fontId="6" numFmtId="172" xfId="0" applyBorder="1" applyFont="1" applyNumberFormat="1"/>
    <xf borderId="6" fillId="2" fontId="17" numFmtId="172" xfId="0" applyAlignment="1" applyBorder="1" applyFont="1" applyNumberFormat="1">
      <alignment readingOrder="0"/>
    </xf>
    <xf borderId="0" fillId="0" fontId="17" numFmtId="172" xfId="0" applyAlignment="1" applyFont="1" applyNumberFormat="1">
      <alignment readingOrder="0"/>
    </xf>
    <xf borderId="6" fillId="2" fontId="30" numFmtId="172" xfId="0" applyBorder="1" applyFont="1" applyNumberFormat="1"/>
    <xf borderId="0" fillId="0" fontId="31" numFmtId="172" xfId="0" applyFont="1" applyNumberFormat="1"/>
    <xf borderId="0" fillId="0" fontId="25" numFmtId="172" xfId="0" applyFont="1" applyNumberFormat="1"/>
    <xf borderId="8" fillId="0" fontId="3" numFmtId="0" xfId="0" applyAlignment="1" applyBorder="1" applyFont="1">
      <alignment horizontal="left"/>
    </xf>
    <xf borderId="0" fillId="0" fontId="29" numFmtId="164" xfId="0" applyAlignment="1" applyFont="1" applyNumberFormat="1">
      <alignment readingOrder="0"/>
    </xf>
    <xf borderId="0" fillId="0" fontId="4" numFmtId="0" xfId="0" applyAlignment="1" applyFont="1">
      <alignment horizontal="left" readingOrder="0"/>
    </xf>
    <xf borderId="0" fillId="0" fontId="29" numFmtId="164" xfId="0" applyFont="1" applyNumberFormat="1"/>
    <xf borderId="0" fillId="0" fontId="4" numFmtId="2" xfId="0" applyFont="1" applyNumberFormat="1"/>
    <xf borderId="0" fillId="0" fontId="6" numFmtId="172" xfId="0" applyFont="1" applyNumberFormat="1"/>
    <xf borderId="0" fillId="0" fontId="19" numFmtId="0" xfId="0" applyAlignment="1" applyFont="1">
      <alignment horizontal="left"/>
    </xf>
    <xf borderId="6" fillId="2" fontId="19" numFmtId="167" xfId="0" applyBorder="1" applyFont="1" applyNumberFormat="1"/>
    <xf borderId="6" fillId="2" fontId="28" numFmtId="172" xfId="0" applyAlignment="1" applyBorder="1" applyFont="1" applyNumberFormat="1">
      <alignment readingOrder="0"/>
    </xf>
    <xf borderId="6" fillId="2" fontId="19" numFmtId="164" xfId="0" applyAlignment="1" applyBorder="1" applyFont="1" applyNumberFormat="1">
      <alignment readingOrder="0"/>
    </xf>
    <xf borderId="6" fillId="2" fontId="28" numFmtId="172" xfId="0" applyBorder="1" applyFont="1" applyNumberFormat="1"/>
    <xf borderId="6" fillId="2" fontId="13" numFmtId="175" xfId="0" applyBorder="1" applyFont="1" applyNumberFormat="1"/>
    <xf borderId="0" fillId="0" fontId="13" numFmtId="175" xfId="0" applyFont="1" applyNumberFormat="1"/>
    <xf borderId="6" fillId="2" fontId="29" numFmtId="164" xfId="0" applyBorder="1" applyFont="1" applyNumberFormat="1"/>
    <xf borderId="0" fillId="0" fontId="28" numFmtId="172" xfId="0" applyAlignment="1" applyFont="1" applyNumberFormat="1">
      <alignment readingOrder="0"/>
    </xf>
    <xf borderId="6" fillId="2" fontId="13" numFmtId="176" xfId="0" applyBorder="1" applyFont="1" applyNumberFormat="1"/>
    <xf borderId="0" fillId="0" fontId="32" numFmtId="176" xfId="0" applyFont="1" applyNumberFormat="1"/>
    <xf borderId="0" fillId="0" fontId="30" numFmtId="0" xfId="0" applyAlignment="1" applyFont="1">
      <alignment horizontal="left"/>
    </xf>
    <xf borderId="6" fillId="2" fontId="30" numFmtId="165" xfId="0" applyBorder="1" applyFont="1" applyNumberFormat="1"/>
    <xf borderId="0" fillId="0" fontId="30" numFmtId="165" xfId="0" applyAlignment="1" applyFont="1" applyNumberFormat="1">
      <alignment readingOrder="0"/>
    </xf>
    <xf borderId="0" fillId="0" fontId="30" numFmtId="165" xfId="0" applyFont="1" applyNumberFormat="1"/>
    <xf borderId="0" fillId="0" fontId="17" numFmtId="165" xfId="0" applyAlignment="1" applyFont="1" applyNumberFormat="1">
      <alignment readingOrder="0"/>
    </xf>
    <xf borderId="0" fillId="0" fontId="17" numFmtId="165" xfId="0" applyFont="1" applyNumberFormat="1"/>
    <xf borderId="6" fillId="2" fontId="6" numFmtId="165" xfId="0" applyBorder="1" applyFont="1" applyNumberFormat="1"/>
    <xf borderId="0" fillId="0" fontId="6" numFmtId="165" xfId="0" applyFont="1" applyNumberFormat="1"/>
    <xf borderId="17" fillId="2" fontId="3" numFmtId="0" xfId="0" applyBorder="1" applyFont="1"/>
    <xf borderId="17" fillId="2" fontId="3" numFmtId="164" xfId="0" applyBorder="1" applyFont="1" applyNumberFormat="1"/>
    <xf borderId="18" fillId="2" fontId="6" numFmtId="0" xfId="0" applyAlignment="1" applyBorder="1" applyFont="1">
      <alignment horizontal="left"/>
    </xf>
    <xf borderId="4" fillId="2" fontId="6" numFmtId="164" xfId="0" applyBorder="1" applyFont="1" applyNumberFormat="1"/>
    <xf borderId="18" fillId="2" fontId="6" numFmtId="164" xfId="0" applyBorder="1" applyFont="1" applyNumberFormat="1"/>
    <xf borderId="19" fillId="0" fontId="3" numFmtId="0" xfId="0" applyBorder="1" applyFont="1"/>
    <xf borderId="20" fillId="2" fontId="3" numFmtId="164" xfId="0" applyBorder="1" applyFont="1" applyNumberFormat="1"/>
    <xf borderId="19" fillId="0" fontId="3" numFmtId="164" xfId="0" applyBorder="1" applyFont="1" applyNumberFormat="1"/>
    <xf quotePrefix="1" borderId="8" fillId="0" fontId="4" numFmtId="0" xfId="0" applyBorder="1" applyFont="1"/>
    <xf borderId="9" fillId="2" fontId="4" numFmtId="165" xfId="0" applyBorder="1" applyFont="1" applyNumberFormat="1"/>
    <xf borderId="8" fillId="0" fontId="4" numFmtId="165" xfId="0" applyBorder="1" applyFont="1" applyNumberFormat="1"/>
    <xf borderId="4" fillId="2" fontId="4" numFmtId="0" xfId="0" applyBorder="1" applyFont="1"/>
    <xf borderId="5" fillId="0" fontId="4" numFmtId="0" xfId="0" applyBorder="1" applyFont="1"/>
    <xf borderId="14" fillId="2" fontId="33" numFmtId="0" xfId="0" applyBorder="1" applyFont="1"/>
    <xf borderId="6" fillId="2" fontId="5" numFmtId="9" xfId="0" applyBorder="1" applyFont="1" applyNumberFormat="1"/>
    <xf borderId="21" fillId="2" fontId="5" numFmtId="9" xfId="0" applyBorder="1" applyFont="1" applyNumberFormat="1"/>
    <xf borderId="22" fillId="2" fontId="5" numFmtId="9" xfId="0" applyBorder="1" applyFont="1" applyNumberFormat="1"/>
    <xf borderId="14" fillId="2" fontId="4" numFmtId="0" xfId="0" applyBorder="1" applyFont="1"/>
    <xf borderId="21" fillId="2" fontId="6" numFmtId="9" xfId="0" applyBorder="1" applyFont="1" applyNumberFormat="1"/>
    <xf borderId="22" fillId="2" fontId="6" numFmtId="9" xfId="0" applyBorder="1" applyFont="1" applyNumberFormat="1"/>
    <xf borderId="23" fillId="2" fontId="3" numFmtId="0" xfId="0" applyBorder="1" applyFont="1"/>
    <xf borderId="9" fillId="2" fontId="5" numFmtId="9" xfId="0" applyBorder="1" applyFont="1" applyNumberFormat="1"/>
    <xf borderId="17" fillId="2" fontId="5" numFmtId="9" xfId="0" applyBorder="1" applyFont="1" applyNumberFormat="1"/>
    <xf borderId="24" fillId="2" fontId="5" numFmtId="9" xfId="0" applyBorder="1" applyFont="1" applyNumberFormat="1"/>
    <xf borderId="14" fillId="2" fontId="3" numFmtId="0" xfId="0" applyBorder="1" applyFont="1"/>
    <xf borderId="25" fillId="2" fontId="3" numFmtId="0" xfId="0" applyBorder="1" applyFont="1"/>
    <xf borderId="4" fillId="2" fontId="5" numFmtId="9" xfId="0" applyBorder="1" applyFont="1" applyNumberFormat="1"/>
    <xf borderId="18" fillId="2" fontId="5" numFmtId="9" xfId="0" applyBorder="1" applyFont="1" applyNumberFormat="1"/>
    <xf borderId="26" fillId="2" fontId="5" numFmtId="9" xfId="0" applyBorder="1" applyFont="1" applyNumberFormat="1"/>
    <xf borderId="27" fillId="2" fontId="3" numFmtId="0" xfId="0" applyBorder="1" applyFont="1"/>
    <xf borderId="20" fillId="2" fontId="5" numFmtId="9" xfId="0" applyBorder="1" applyFont="1" applyNumberFormat="1"/>
    <xf borderId="28" fillId="2" fontId="5" numFmtId="9" xfId="0" applyBorder="1" applyFont="1" applyNumberFormat="1"/>
    <xf borderId="29" fillId="2" fontId="5" numFmtId="9" xfId="0" applyBorder="1" applyFont="1" applyNumberFormat="1"/>
    <xf borderId="21" fillId="2" fontId="4" numFmtId="167" xfId="0" applyBorder="1" applyFont="1" applyNumberFormat="1"/>
    <xf borderId="22" fillId="2" fontId="4" numFmtId="167" xfId="0" applyBorder="1" applyFont="1" applyNumberFormat="1"/>
    <xf borderId="21" fillId="2" fontId="4" numFmtId="165" xfId="0" applyBorder="1" applyFont="1" applyNumberFormat="1"/>
    <xf borderId="22" fillId="2" fontId="4" numFmtId="165" xfId="0" applyBorder="1" applyFont="1" applyNumberFormat="1"/>
    <xf borderId="17" fillId="2" fontId="3" numFmtId="167" xfId="0" applyBorder="1" applyFont="1" applyNumberFormat="1"/>
    <xf borderId="24" fillId="2" fontId="3" numFmtId="167" xfId="0" applyBorder="1" applyFont="1" applyNumberFormat="1"/>
    <xf borderId="21" fillId="2" fontId="3" numFmtId="165" xfId="0" applyBorder="1" applyFont="1" applyNumberFormat="1"/>
    <xf borderId="22" fillId="2" fontId="3" numFmtId="165" xfId="0" applyBorder="1" applyFont="1" applyNumberFormat="1"/>
    <xf borderId="18" fillId="2" fontId="3" numFmtId="165" xfId="0" applyBorder="1" applyFont="1" applyNumberFormat="1"/>
    <xf borderId="26" fillId="2" fontId="3" numFmtId="165" xfId="0" applyBorder="1" applyFont="1" applyNumberFormat="1"/>
    <xf borderId="28" fillId="2" fontId="3" numFmtId="167" xfId="0" applyBorder="1" applyFont="1" applyNumberFormat="1"/>
    <xf borderId="29" fillId="2" fontId="3" numFmtId="167" xfId="0" applyBorder="1" applyFont="1" applyNumberFormat="1"/>
    <xf borderId="2" fillId="3" fontId="8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0" fillId="0" fontId="3" numFmtId="0" xfId="0" applyAlignment="1" applyBorder="1" applyFont="1">
      <alignment horizontal="center"/>
    </xf>
    <xf borderId="31" fillId="0" fontId="5" numFmtId="0" xfId="0" applyAlignment="1" applyBorder="1" applyFont="1">
      <alignment horizontal="center"/>
    </xf>
    <xf borderId="4" fillId="3" fontId="34" numFmtId="0" xfId="0" applyAlignment="1" applyBorder="1" applyFont="1">
      <alignment horizontal="center"/>
    </xf>
    <xf borderId="32" fillId="0" fontId="5" numFmtId="0" xfId="0" applyAlignment="1" applyBorder="1" applyFont="1">
      <alignment horizontal="center"/>
    </xf>
    <xf borderId="33" fillId="0" fontId="5" numFmtId="0" xfId="0" applyAlignment="1" applyBorder="1" applyFont="1">
      <alignment horizontal="center"/>
    </xf>
    <xf borderId="34" fillId="0" fontId="4" numFmtId="0" xfId="0" applyBorder="1" applyFont="1"/>
    <xf borderId="15" fillId="0" fontId="4" numFmtId="0" xfId="0" applyBorder="1" applyFont="1"/>
    <xf borderId="35" fillId="0" fontId="4" numFmtId="0" xfId="0" applyBorder="1" applyFont="1"/>
    <xf borderId="34" fillId="0" fontId="4" numFmtId="164" xfId="0" applyBorder="1" applyFont="1" applyNumberFormat="1"/>
    <xf borderId="35" fillId="0" fontId="4" numFmtId="164" xfId="0" applyBorder="1" applyFont="1" applyNumberFormat="1"/>
    <xf borderId="34" fillId="0" fontId="4" numFmtId="165" xfId="0" applyBorder="1" applyFont="1" applyNumberFormat="1"/>
    <xf borderId="35" fillId="0" fontId="4" numFmtId="165" xfId="0" applyBorder="1" applyFont="1" applyNumberFormat="1"/>
    <xf borderId="34" fillId="0" fontId="6" numFmtId="165" xfId="0" applyBorder="1" applyFont="1" applyNumberFormat="1"/>
    <xf borderId="0" fillId="0" fontId="26" numFmtId="165" xfId="0" applyFont="1" applyNumberFormat="1"/>
    <xf borderId="0" fillId="0" fontId="26" numFmtId="165" xfId="0" applyAlignment="1" applyFont="1" applyNumberFormat="1">
      <alignment readingOrder="0"/>
    </xf>
    <xf borderId="0" fillId="5" fontId="26" numFmtId="165" xfId="0" applyAlignment="1" applyFill="1" applyFont="1" applyNumberFormat="1">
      <alignment readingOrder="0"/>
    </xf>
    <xf borderId="35" fillId="0" fontId="6" numFmtId="165" xfId="0" applyBorder="1" applyFont="1" applyNumberFormat="1"/>
    <xf borderId="15" fillId="5" fontId="26" numFmtId="165" xfId="0" applyAlignment="1" applyBorder="1" applyFont="1" applyNumberFormat="1">
      <alignment readingOrder="0"/>
    </xf>
    <xf borderId="15" fillId="5" fontId="26" numFmtId="165" xfId="0" applyBorder="1" applyFont="1" applyNumberFormat="1"/>
    <xf borderId="36" fillId="0" fontId="3" numFmtId="164" xfId="0" applyBorder="1" applyFont="1" applyNumberFormat="1"/>
    <xf borderId="37" fillId="0" fontId="3" numFmtId="164" xfId="0" applyBorder="1" applyFont="1" applyNumberFormat="1"/>
    <xf borderId="15" fillId="0" fontId="6" numFmtId="165" xfId="0" applyBorder="1" applyFont="1" applyNumberFormat="1"/>
    <xf borderId="0" fillId="0" fontId="6" numFmtId="0" xfId="0" applyAlignment="1" applyFont="1">
      <alignment horizontal="left" readingOrder="0"/>
    </xf>
    <xf borderId="0" fillId="0" fontId="6" numFmtId="165" xfId="0" applyAlignment="1" applyFont="1" applyNumberFormat="1">
      <alignment readingOrder="0"/>
    </xf>
    <xf borderId="15" fillId="0" fontId="6" numFmtId="165" xfId="0" applyAlignment="1" applyBorder="1" applyFont="1" applyNumberFormat="1">
      <alignment readingOrder="0"/>
    </xf>
    <xf borderId="0" fillId="0" fontId="4" numFmtId="165" xfId="0" applyAlignment="1" applyFont="1" applyNumberFormat="1">
      <alignment readingOrder="0"/>
    </xf>
    <xf borderId="33" fillId="0" fontId="4" numFmtId="165" xfId="0" applyBorder="1" applyFont="1" applyNumberFormat="1"/>
    <xf borderId="38" fillId="0" fontId="3" numFmtId="164" xfId="0" applyBorder="1" applyFont="1" applyNumberFormat="1"/>
    <xf borderId="39" fillId="0" fontId="3" numFmtId="164" xfId="0" applyBorder="1" applyFont="1" applyNumberFormat="1"/>
    <xf borderId="20" fillId="0" fontId="3" numFmtId="164" xfId="0" applyBorder="1" applyFont="1" applyNumberFormat="1"/>
    <xf borderId="0" fillId="0" fontId="35" numFmtId="164" xfId="0" applyFont="1" applyNumberFormat="1"/>
    <xf borderId="34" fillId="0" fontId="3" numFmtId="164" xfId="0" applyBorder="1" applyFont="1" applyNumberFormat="1"/>
    <xf borderId="6" fillId="2" fontId="36" numFmtId="164" xfId="0" applyBorder="1" applyFont="1" applyNumberFormat="1"/>
    <xf borderId="35" fillId="0" fontId="3" numFmtId="164" xfId="0" applyBorder="1" applyFont="1" applyNumberFormat="1"/>
    <xf borderId="34" fillId="0" fontId="29" numFmtId="165" xfId="0" applyBorder="1" applyFont="1" applyNumberFormat="1"/>
    <xf borderId="0" fillId="0" fontId="29" numFmtId="165" xfId="0" applyAlignment="1" applyFont="1" applyNumberFormat="1">
      <alignment readingOrder="0"/>
    </xf>
    <xf borderId="36" fillId="0" fontId="4" numFmtId="165" xfId="0" applyBorder="1" applyFont="1" applyNumberFormat="1"/>
    <xf borderId="37" fillId="0" fontId="4" numFmtId="165" xfId="0" applyBorder="1" applyFont="1" applyNumberFormat="1"/>
    <xf borderId="1" fillId="0" fontId="3" numFmtId="164" xfId="0" applyBorder="1" applyFont="1" applyNumberFormat="1"/>
    <xf borderId="31" fillId="0" fontId="15" numFmtId="164" xfId="0" applyBorder="1" applyFont="1" applyNumberFormat="1"/>
    <xf borderId="2" fillId="0" fontId="3" numFmtId="164" xfId="0" applyBorder="1" applyFont="1" applyNumberFormat="1"/>
    <xf borderId="40" fillId="0" fontId="4" numFmtId="164" xfId="0" applyBorder="1" applyFont="1" applyNumberFormat="1"/>
    <xf borderId="40" fillId="0" fontId="4" numFmtId="165" xfId="0" applyBorder="1" applyFont="1" applyNumberFormat="1"/>
    <xf borderId="8" fillId="0" fontId="4" numFmtId="0" xfId="0" applyBorder="1" applyFont="1"/>
    <xf borderId="8" fillId="0" fontId="4" numFmtId="164" xfId="0" applyBorder="1" applyFont="1" applyNumberFormat="1"/>
    <xf borderId="36" fillId="0" fontId="4" numFmtId="164" xfId="0" applyBorder="1" applyFont="1" applyNumberFormat="1"/>
    <xf borderId="41" fillId="0" fontId="4" numFmtId="164" xfId="0" applyBorder="1" applyFont="1" applyNumberFormat="1"/>
    <xf borderId="9" fillId="2" fontId="4" numFmtId="164" xfId="0" applyBorder="1" applyFont="1" applyNumberFormat="1"/>
    <xf borderId="37" fillId="0" fontId="4" numFmtId="164" xfId="0" applyBorder="1" applyFont="1" applyNumberFormat="1"/>
    <xf borderId="40" fillId="0" fontId="4" numFmtId="0" xfId="0" applyBorder="1" applyFont="1"/>
    <xf borderId="34" fillId="0" fontId="26" numFmtId="169" xfId="0" applyBorder="1" applyFont="1" applyNumberFormat="1"/>
    <xf borderId="40" fillId="0" fontId="26" numFmtId="169" xfId="0" applyBorder="1" applyFont="1" applyNumberFormat="1"/>
    <xf borderId="0" fillId="0" fontId="6" numFmtId="177" xfId="0" applyFont="1" applyNumberFormat="1"/>
    <xf borderId="34" fillId="0" fontId="6" numFmtId="177" xfId="0" applyBorder="1" applyFont="1" applyNumberFormat="1"/>
    <xf borderId="40" fillId="0" fontId="6" numFmtId="177" xfId="0" applyBorder="1" applyFont="1" applyNumberFormat="1"/>
    <xf borderId="0" fillId="0" fontId="5" numFmtId="170" xfId="0" applyFont="1" applyNumberFormat="1"/>
    <xf borderId="0" fillId="0" fontId="6" numFmtId="0" xfId="0" applyAlignment="1" applyFont="1">
      <alignment readingOrder="0"/>
    </xf>
    <xf borderId="0" fillId="0" fontId="6" numFmtId="170" xfId="0" applyAlignment="1" applyFont="1" applyNumberFormat="1">
      <alignment readingOrder="0"/>
    </xf>
    <xf borderId="10" fillId="0" fontId="25" numFmtId="165" xfId="0" applyAlignment="1" applyBorder="1" applyFont="1" applyNumberFormat="1">
      <alignment readingOrder="0"/>
    </xf>
    <xf borderId="10" fillId="0" fontId="16" numFmtId="165" xfId="0" applyBorder="1" applyFont="1" applyNumberFormat="1"/>
    <xf borderId="21" fillId="2" fontId="4" numFmtId="0" xfId="0" applyBorder="1" applyFont="1"/>
    <xf borderId="21" fillId="2" fontId="14" numFmtId="164" xfId="0" applyBorder="1" applyFont="1" applyNumberFormat="1"/>
    <xf borderId="21" fillId="2" fontId="4" numFmtId="166" xfId="0" applyBorder="1" applyFont="1" applyNumberFormat="1"/>
    <xf borderId="21" fillId="2" fontId="6" numFmtId="0" xfId="0" applyAlignment="1" applyBorder="1" applyFont="1">
      <alignment horizontal="left"/>
    </xf>
    <xf borderId="21" fillId="2" fontId="16" numFmtId="169" xfId="0" applyBorder="1" applyFont="1" applyNumberFormat="1"/>
    <xf borderId="21" fillId="2" fontId="6" numFmtId="164" xfId="0" applyBorder="1" applyFont="1" applyNumberFormat="1"/>
    <xf borderId="42" fillId="2" fontId="6" numFmtId="0" xfId="0" applyAlignment="1" applyBorder="1" applyFont="1">
      <alignment horizontal="left"/>
    </xf>
    <xf borderId="42" fillId="2" fontId="25" numFmtId="165" xfId="0" applyAlignment="1" applyBorder="1" applyFont="1" applyNumberFormat="1">
      <alignment readingOrder="0"/>
    </xf>
    <xf borderId="42" fillId="2" fontId="16" numFmtId="165" xfId="0" applyBorder="1" applyFont="1" applyNumberFormat="1"/>
    <xf borderId="0" fillId="0" fontId="13" numFmtId="166" xfId="0" applyFont="1" applyNumberFormat="1"/>
    <xf borderId="21" fillId="2" fontId="13" numFmtId="164" xfId="0" applyBorder="1" applyFont="1" applyNumberFormat="1"/>
    <xf borderId="21" fillId="2" fontId="29" numFmtId="166" xfId="0" applyBorder="1" applyFont="1" applyNumberFormat="1"/>
    <xf borderId="0" fillId="0" fontId="29" numFmtId="166" xfId="0" applyFont="1" applyNumberFormat="1"/>
    <xf borderId="10" fillId="0" fontId="25" numFmtId="165" xfId="0" applyBorder="1" applyFont="1" applyNumberFormat="1"/>
    <xf borderId="42" fillId="2" fontId="25" numFmtId="165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75"/>
    <col customWidth="1" min="2" max="7" width="15.25"/>
  </cols>
  <sheetData>
    <row r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>
      <c r="A2" s="2" t="s">
        <v>6</v>
      </c>
      <c r="B2" s="3">
        <v>40000.0</v>
      </c>
      <c r="C2" s="4">
        <f t="shared" ref="C2:G2" si="1">B20</f>
        <v>25000</v>
      </c>
      <c r="D2" s="4">
        <f t="shared" si="1"/>
        <v>25000</v>
      </c>
      <c r="E2" s="4">
        <f t="shared" si="1"/>
        <v>25000</v>
      </c>
      <c r="F2" s="4">
        <f t="shared" si="1"/>
        <v>25000</v>
      </c>
      <c r="G2" s="4">
        <f t="shared" si="1"/>
        <v>25000</v>
      </c>
    </row>
    <row r="3">
      <c r="B3" s="5"/>
      <c r="C3" s="5"/>
      <c r="D3" s="5"/>
      <c r="E3" s="5"/>
      <c r="F3" s="5"/>
      <c r="G3" s="5"/>
    </row>
    <row r="4">
      <c r="A4" s="6" t="s">
        <v>7</v>
      </c>
      <c r="B4" s="7">
        <v>0.0</v>
      </c>
      <c r="C4" s="7">
        <v>0.0</v>
      </c>
      <c r="D4" s="7">
        <v>0.0</v>
      </c>
      <c r="E4" s="7">
        <v>0.0</v>
      </c>
      <c r="F4" s="7">
        <v>0.0</v>
      </c>
      <c r="G4" s="7">
        <v>0.0</v>
      </c>
    </row>
    <row r="5">
      <c r="A5" s="6" t="s">
        <v>8</v>
      </c>
      <c r="B5" s="7">
        <v>0.0</v>
      </c>
      <c r="C5" s="7">
        <v>0.0</v>
      </c>
      <c r="D5" s="7">
        <v>0.0</v>
      </c>
      <c r="E5" s="7">
        <v>0.0</v>
      </c>
      <c r="F5" s="7">
        <v>0.0</v>
      </c>
      <c r="G5" s="7">
        <v>0.0</v>
      </c>
    </row>
    <row r="6">
      <c r="A6" s="2" t="s">
        <v>9</v>
      </c>
      <c r="B6" s="5">
        <f t="shared" ref="B6:G6" si="2">B4+B5</f>
        <v>0</v>
      </c>
      <c r="C6" s="5">
        <f t="shared" si="2"/>
        <v>0</v>
      </c>
      <c r="D6" s="5">
        <f t="shared" si="2"/>
        <v>0</v>
      </c>
      <c r="E6" s="5">
        <f t="shared" si="2"/>
        <v>0</v>
      </c>
      <c r="F6" s="5">
        <f t="shared" si="2"/>
        <v>0</v>
      </c>
      <c r="G6" s="5">
        <f t="shared" si="2"/>
        <v>0</v>
      </c>
    </row>
    <row r="7">
      <c r="B7" s="5"/>
      <c r="C7" s="5"/>
      <c r="D7" s="5"/>
      <c r="E7" s="5"/>
      <c r="F7" s="5"/>
      <c r="G7" s="5"/>
    </row>
    <row r="8">
      <c r="A8" s="6" t="s">
        <v>10</v>
      </c>
      <c r="B8" s="7">
        <v>-12500.0</v>
      </c>
      <c r="C8" s="7">
        <v>-12500.0</v>
      </c>
      <c r="D8" s="7">
        <v>-12500.0</v>
      </c>
      <c r="E8" s="7">
        <v>-12500.0</v>
      </c>
      <c r="F8" s="7">
        <v>-60000.0</v>
      </c>
      <c r="G8" s="7">
        <v>-60000.0</v>
      </c>
    </row>
    <row r="9">
      <c r="A9" s="6" t="s">
        <v>11</v>
      </c>
      <c r="B9" s="7">
        <v>0.0</v>
      </c>
      <c r="C9" s="7">
        <f>-13500*2</f>
        <v>-27000</v>
      </c>
      <c r="D9" s="7">
        <v>0.0</v>
      </c>
      <c r="E9" s="7">
        <v>0.0</v>
      </c>
      <c r="F9" s="5">
        <f>-13500</f>
        <v>-13500</v>
      </c>
      <c r="G9" s="7">
        <v>0.0</v>
      </c>
    </row>
    <row r="10">
      <c r="A10" s="6" t="s">
        <v>12</v>
      </c>
      <c r="B10" s="7">
        <v>-150000.0</v>
      </c>
      <c r="C10" s="7">
        <v>0.0</v>
      </c>
      <c r="D10" s="7">
        <v>-60000.0</v>
      </c>
      <c r="E10" s="7">
        <v>-60000.0</v>
      </c>
      <c r="F10" s="7">
        <v>-70000.0</v>
      </c>
      <c r="G10" s="7">
        <v>0.0</v>
      </c>
    </row>
    <row r="11">
      <c r="A11" s="8" t="s">
        <v>13</v>
      </c>
      <c r="B11" s="7">
        <v>25000.0</v>
      </c>
      <c r="C11" s="7">
        <f t="shared" ref="C11:G11" si="3">-B10-C9</f>
        <v>177000</v>
      </c>
      <c r="D11" s="7">
        <f t="shared" si="3"/>
        <v>0</v>
      </c>
      <c r="E11" s="7">
        <f t="shared" si="3"/>
        <v>60000</v>
      </c>
      <c r="F11" s="7">
        <f t="shared" si="3"/>
        <v>73500</v>
      </c>
      <c r="G11" s="7">
        <f t="shared" si="3"/>
        <v>70000</v>
      </c>
    </row>
    <row r="12">
      <c r="A12" s="6" t="s">
        <v>14</v>
      </c>
      <c r="B12" s="5">
        <f>-20000</f>
        <v>-20000</v>
      </c>
      <c r="C12" s="7">
        <v>-5000.0</v>
      </c>
      <c r="D12" s="7">
        <v>-5000.0</v>
      </c>
      <c r="E12" s="7">
        <v>-5000.0</v>
      </c>
      <c r="F12" s="7">
        <v>-5000.0</v>
      </c>
      <c r="G12" s="7">
        <v>0.0</v>
      </c>
    </row>
    <row r="13">
      <c r="A13" s="6" t="s">
        <v>15</v>
      </c>
      <c r="B13" s="7">
        <v>-3000.0</v>
      </c>
      <c r="C13" s="7">
        <v>-3000.0</v>
      </c>
      <c r="D13" s="7">
        <v>-3000.0</v>
      </c>
      <c r="E13" s="7">
        <v>-3000.0</v>
      </c>
      <c r="F13" s="7">
        <v>0.0</v>
      </c>
      <c r="G13" s="7">
        <v>0.0</v>
      </c>
    </row>
    <row r="14">
      <c r="A14" s="6" t="s">
        <v>16</v>
      </c>
      <c r="B14" s="7">
        <v>0.0</v>
      </c>
      <c r="C14" s="7">
        <v>0.0</v>
      </c>
      <c r="D14" s="7">
        <v>0.0</v>
      </c>
      <c r="E14" s="7">
        <v>0.0</v>
      </c>
      <c r="F14" s="7">
        <f>-8600*3-3500-3000-2000-2000</f>
        <v>-36300</v>
      </c>
      <c r="G14" s="7">
        <v>0.0</v>
      </c>
    </row>
    <row r="15">
      <c r="B15" s="5"/>
      <c r="C15" s="5"/>
      <c r="D15" s="5"/>
      <c r="E15" s="5"/>
      <c r="F15" s="5"/>
      <c r="G15" s="5"/>
    </row>
    <row r="16">
      <c r="A16" s="2" t="s">
        <v>17</v>
      </c>
      <c r="B16" s="4">
        <f t="shared" ref="B16:G16" si="4">sum(B6:B14)</f>
        <v>-160500</v>
      </c>
      <c r="C16" s="4">
        <f t="shared" si="4"/>
        <v>129500</v>
      </c>
      <c r="D16" s="4">
        <f t="shared" si="4"/>
        <v>-80500</v>
      </c>
      <c r="E16" s="4">
        <f t="shared" si="4"/>
        <v>-20500</v>
      </c>
      <c r="F16" s="4">
        <f t="shared" si="4"/>
        <v>-111300</v>
      </c>
      <c r="G16" s="4">
        <f t="shared" si="4"/>
        <v>10000</v>
      </c>
    </row>
    <row r="17">
      <c r="A17" s="8" t="s">
        <v>18</v>
      </c>
      <c r="B17" s="7">
        <f t="shared" ref="B17:G17" si="5">-(B2-B22+B16)</f>
        <v>145500</v>
      </c>
      <c r="C17" s="7">
        <f t="shared" si="5"/>
        <v>-129500</v>
      </c>
      <c r="D17" s="7">
        <f t="shared" si="5"/>
        <v>80500</v>
      </c>
      <c r="E17" s="7">
        <f t="shared" si="5"/>
        <v>20500</v>
      </c>
      <c r="F17" s="7">
        <f t="shared" si="5"/>
        <v>111300</v>
      </c>
      <c r="G17" s="7">
        <f t="shared" si="5"/>
        <v>-10000</v>
      </c>
    </row>
    <row r="18">
      <c r="A18" s="2" t="s">
        <v>19</v>
      </c>
      <c r="B18" s="4">
        <f t="shared" ref="B18:G18" si="6">B16+B17</f>
        <v>-15000</v>
      </c>
      <c r="C18" s="4">
        <f t="shared" si="6"/>
        <v>0</v>
      </c>
      <c r="D18" s="4">
        <f t="shared" si="6"/>
        <v>0</v>
      </c>
      <c r="E18" s="4">
        <f t="shared" si="6"/>
        <v>0</v>
      </c>
      <c r="F18" s="4">
        <f t="shared" si="6"/>
        <v>0</v>
      </c>
      <c r="G18" s="4">
        <f t="shared" si="6"/>
        <v>0</v>
      </c>
    </row>
    <row r="19">
      <c r="B19" s="5"/>
      <c r="C19" s="5"/>
      <c r="D19" s="5"/>
      <c r="E19" s="5"/>
      <c r="F19" s="5"/>
      <c r="G19" s="5"/>
    </row>
    <row r="20">
      <c r="A20" s="2" t="s">
        <v>20</v>
      </c>
      <c r="B20" s="4">
        <f t="shared" ref="B20:G20" si="7">B2+B18</f>
        <v>25000</v>
      </c>
      <c r="C20" s="4">
        <f t="shared" si="7"/>
        <v>25000</v>
      </c>
      <c r="D20" s="4">
        <f t="shared" si="7"/>
        <v>25000</v>
      </c>
      <c r="E20" s="4">
        <f t="shared" si="7"/>
        <v>25000</v>
      </c>
      <c r="F20" s="4">
        <f t="shared" si="7"/>
        <v>25000</v>
      </c>
      <c r="G20" s="4">
        <f t="shared" si="7"/>
        <v>25000</v>
      </c>
    </row>
    <row r="21">
      <c r="B21" s="5"/>
      <c r="C21" s="5"/>
      <c r="D21" s="5"/>
      <c r="E21" s="5"/>
      <c r="F21" s="5"/>
      <c r="G21" s="5"/>
    </row>
    <row r="22">
      <c r="A22" s="6" t="s">
        <v>21</v>
      </c>
      <c r="B22" s="7">
        <v>25000.0</v>
      </c>
      <c r="C22" s="7">
        <v>25000.0</v>
      </c>
      <c r="D22" s="7">
        <v>25000.0</v>
      </c>
      <c r="E22" s="7">
        <v>25000.0</v>
      </c>
      <c r="F22" s="7">
        <v>25000.0</v>
      </c>
      <c r="G22" s="7">
        <v>25000.0</v>
      </c>
    </row>
    <row r="24">
      <c r="A24" s="2" t="s">
        <v>22</v>
      </c>
      <c r="B24" s="4">
        <f>B17</f>
        <v>145500</v>
      </c>
      <c r="C24" s="4">
        <f t="shared" ref="C24:G24" si="8">B24+C17</f>
        <v>16000</v>
      </c>
      <c r="D24" s="4">
        <f t="shared" si="8"/>
        <v>96500</v>
      </c>
      <c r="E24" s="4">
        <f t="shared" si="8"/>
        <v>117000</v>
      </c>
      <c r="F24" s="4">
        <f t="shared" si="8"/>
        <v>228300</v>
      </c>
      <c r="G24" s="4">
        <f t="shared" si="8"/>
        <v>218300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 outlineLevelRow="1"/>
  <cols>
    <col customWidth="1" min="1" max="1" width="30.88"/>
    <col customWidth="1" min="2" max="12" width="13.63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5.75" customHeight="1">
      <c r="A2" s="11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3"/>
      <c r="B5" s="14" t="s">
        <v>26</v>
      </c>
      <c r="C5" s="15" t="s">
        <v>27</v>
      </c>
      <c r="D5" s="16"/>
      <c r="E5" s="16"/>
      <c r="F5" s="16"/>
      <c r="G5" s="16"/>
      <c r="H5" s="16"/>
      <c r="I5" s="16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7" t="s">
        <v>28</v>
      </c>
      <c r="B6" s="18">
        <v>2023.0</v>
      </c>
      <c r="C6" s="19">
        <f t="shared" ref="C6:L6" si="1">B6+1</f>
        <v>2024</v>
      </c>
      <c r="D6" s="19">
        <f t="shared" si="1"/>
        <v>2025</v>
      </c>
      <c r="E6" s="19">
        <f t="shared" si="1"/>
        <v>2026</v>
      </c>
      <c r="F6" s="19">
        <f t="shared" si="1"/>
        <v>2027</v>
      </c>
      <c r="G6" s="19">
        <f t="shared" si="1"/>
        <v>2028</v>
      </c>
      <c r="H6" s="19">
        <f t="shared" si="1"/>
        <v>2029</v>
      </c>
      <c r="I6" s="19">
        <f t="shared" si="1"/>
        <v>2030</v>
      </c>
      <c r="J6" s="19">
        <f t="shared" si="1"/>
        <v>2031</v>
      </c>
      <c r="K6" s="19">
        <f t="shared" si="1"/>
        <v>2032</v>
      </c>
      <c r="L6" s="19">
        <f t="shared" si="1"/>
        <v>2033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20" t="s">
        <v>29</v>
      </c>
      <c r="B7" s="21">
        <v>0.0</v>
      </c>
      <c r="C7" s="22">
        <v>1.0</v>
      </c>
      <c r="D7" s="22">
        <f t="shared" ref="D7:L7" si="2">C7+1</f>
        <v>2</v>
      </c>
      <c r="E7" s="22">
        <f t="shared" si="2"/>
        <v>3</v>
      </c>
      <c r="F7" s="22">
        <f t="shared" si="2"/>
        <v>4</v>
      </c>
      <c r="G7" s="22">
        <f t="shared" si="2"/>
        <v>5</v>
      </c>
      <c r="H7" s="22">
        <f t="shared" si="2"/>
        <v>6</v>
      </c>
      <c r="I7" s="22">
        <f t="shared" si="2"/>
        <v>7</v>
      </c>
      <c r="J7" s="22">
        <f t="shared" si="2"/>
        <v>8</v>
      </c>
      <c r="K7" s="22">
        <f t="shared" si="2"/>
        <v>9</v>
      </c>
      <c r="L7" s="22">
        <f t="shared" si="2"/>
        <v>10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0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9" t="s">
        <v>30</v>
      </c>
      <c r="B9" s="25">
        <f>'Enrollment &amp; Revenue'!B17</f>
        <v>0</v>
      </c>
      <c r="C9" s="26">
        <f>'Enrollment &amp; Revenue'!C17</f>
        <v>110</v>
      </c>
      <c r="D9" s="26">
        <f>'Enrollment &amp; Revenue'!D17</f>
        <v>228</v>
      </c>
      <c r="E9" s="26">
        <f>'Enrollment &amp; Revenue'!E17</f>
        <v>309</v>
      </c>
      <c r="F9" s="26">
        <f>'Enrollment &amp; Revenue'!F17</f>
        <v>399</v>
      </c>
      <c r="G9" s="26">
        <f>'Enrollment &amp; Revenue'!G17</f>
        <v>489</v>
      </c>
      <c r="H9" s="26">
        <f>'Enrollment &amp; Revenue'!H17</f>
        <v>579</v>
      </c>
      <c r="I9" s="26">
        <f>'Enrollment &amp; Revenue'!I17</f>
        <v>669</v>
      </c>
      <c r="J9" s="26">
        <f>'Enrollment &amp; Revenue'!J17</f>
        <v>669</v>
      </c>
      <c r="K9" s="26">
        <f>'Enrollment &amp; Revenue'!K17</f>
        <v>669</v>
      </c>
      <c r="L9" s="26">
        <f>'Enrollment &amp; Revenue'!L17</f>
        <v>669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9" t="s">
        <v>9</v>
      </c>
      <c r="B10" s="27">
        <f>'Enrollment &amp; Revenue'!B21</f>
        <v>701330.44</v>
      </c>
      <c r="C10" s="28">
        <f>'Enrollment &amp; Revenue'!C21</f>
        <v>2670544.816</v>
      </c>
      <c r="D10" s="28">
        <f>'Enrollment &amp; Revenue'!D21</f>
        <v>4574569.276</v>
      </c>
      <c r="E10" s="28">
        <f>'Enrollment &amp; Revenue'!E21</f>
        <v>5648732.492</v>
      </c>
      <c r="F10" s="28">
        <f>'Enrollment &amp; Revenue'!F21</f>
        <v>7294477.058</v>
      </c>
      <c r="G10" s="28">
        <f>'Enrollment &amp; Revenue'!G21</f>
        <v>9106024.751</v>
      </c>
      <c r="H10" s="28">
        <f>'Enrollment &amp; Revenue'!H21</f>
        <v>10985328.23</v>
      </c>
      <c r="I10" s="28">
        <f>'Enrollment &amp; Revenue'!I21</f>
        <v>12934391.96</v>
      </c>
      <c r="J10" s="28">
        <f>'Enrollment &amp; Revenue'!J21</f>
        <v>13185478.18</v>
      </c>
      <c r="K10" s="28">
        <f>'Enrollment &amp; Revenue'!K21</f>
        <v>13441586.13</v>
      </c>
      <c r="L10" s="28">
        <f>'Enrollment &amp; Revenue'!L21</f>
        <v>13702816.23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9" t="s">
        <v>31</v>
      </c>
      <c r="B11" s="23"/>
      <c r="C11" s="30">
        <f t="shared" ref="C11:L11" si="3">C10/C9</f>
        <v>24277.68015</v>
      </c>
      <c r="D11" s="30">
        <f t="shared" si="3"/>
        <v>20063.90033</v>
      </c>
      <c r="E11" s="30">
        <f t="shared" si="3"/>
        <v>18280.68767</v>
      </c>
      <c r="F11" s="30">
        <f t="shared" si="3"/>
        <v>18281.89739</v>
      </c>
      <c r="G11" s="30">
        <f t="shared" si="3"/>
        <v>18621.72751</v>
      </c>
      <c r="H11" s="30">
        <f t="shared" si="3"/>
        <v>18972.93305</v>
      </c>
      <c r="I11" s="30">
        <f t="shared" si="3"/>
        <v>19333.91922</v>
      </c>
      <c r="J11" s="30">
        <f t="shared" si="3"/>
        <v>19709.23495</v>
      </c>
      <c r="K11" s="30">
        <f t="shared" si="3"/>
        <v>20092.05699</v>
      </c>
      <c r="L11" s="30">
        <f t="shared" si="3"/>
        <v>20482.53548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10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31" t="s">
        <v>32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10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10" t="s">
        <v>33</v>
      </c>
      <c r="B15" s="34">
        <f>SUM(B46:B50)</f>
        <v>0</v>
      </c>
      <c r="C15" s="35">
        <f t="shared" ref="C15:L15" si="4">SUM(C51:C54)</f>
        <v>110</v>
      </c>
      <c r="D15" s="35">
        <f t="shared" si="4"/>
        <v>228</v>
      </c>
      <c r="E15" s="35">
        <f t="shared" si="4"/>
        <v>309</v>
      </c>
      <c r="F15" s="35">
        <f t="shared" si="4"/>
        <v>309</v>
      </c>
      <c r="G15" s="35">
        <f t="shared" si="4"/>
        <v>309</v>
      </c>
      <c r="H15" s="35">
        <f t="shared" si="4"/>
        <v>309</v>
      </c>
      <c r="I15" s="35">
        <f t="shared" si="4"/>
        <v>309</v>
      </c>
      <c r="J15" s="35">
        <f t="shared" si="4"/>
        <v>309</v>
      </c>
      <c r="K15" s="35">
        <f t="shared" si="4"/>
        <v>309</v>
      </c>
      <c r="L15" s="35">
        <f t="shared" si="4"/>
        <v>309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10" t="s">
        <v>34</v>
      </c>
      <c r="B16" s="34">
        <f>SUM(B51:B54)</f>
        <v>0</v>
      </c>
      <c r="C16" s="35">
        <f t="shared" ref="C16:L16" si="5">SUM(C55:C58)</f>
        <v>0</v>
      </c>
      <c r="D16" s="35">
        <f t="shared" si="5"/>
        <v>0</v>
      </c>
      <c r="E16" s="35">
        <f t="shared" si="5"/>
        <v>0</v>
      </c>
      <c r="F16" s="35">
        <f t="shared" si="5"/>
        <v>90</v>
      </c>
      <c r="G16" s="35">
        <f t="shared" si="5"/>
        <v>180</v>
      </c>
      <c r="H16" s="35">
        <f t="shared" si="5"/>
        <v>270</v>
      </c>
      <c r="I16" s="35">
        <f t="shared" si="5"/>
        <v>360</v>
      </c>
      <c r="J16" s="35">
        <f t="shared" si="5"/>
        <v>360</v>
      </c>
      <c r="K16" s="35">
        <f t="shared" si="5"/>
        <v>360</v>
      </c>
      <c r="L16" s="35">
        <f t="shared" si="5"/>
        <v>360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36" t="s">
        <v>30</v>
      </c>
      <c r="B17" s="37">
        <f t="shared" ref="B17:L17" si="6">+B59</f>
        <v>0</v>
      </c>
      <c r="C17" s="38">
        <f t="shared" si="6"/>
        <v>110</v>
      </c>
      <c r="D17" s="38">
        <f t="shared" si="6"/>
        <v>228</v>
      </c>
      <c r="E17" s="38">
        <f t="shared" si="6"/>
        <v>309</v>
      </c>
      <c r="F17" s="38">
        <f t="shared" si="6"/>
        <v>399</v>
      </c>
      <c r="G17" s="38">
        <f t="shared" si="6"/>
        <v>489</v>
      </c>
      <c r="H17" s="38">
        <f t="shared" si="6"/>
        <v>579</v>
      </c>
      <c r="I17" s="38">
        <f t="shared" si="6"/>
        <v>669</v>
      </c>
      <c r="J17" s="38">
        <f t="shared" si="6"/>
        <v>669</v>
      </c>
      <c r="K17" s="38">
        <f t="shared" si="6"/>
        <v>669</v>
      </c>
      <c r="L17" s="38">
        <f t="shared" si="6"/>
        <v>669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10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0" t="s">
        <v>7</v>
      </c>
      <c r="B19" s="39">
        <f t="shared" ref="B19:L19" si="7">+B81</f>
        <v>0</v>
      </c>
      <c r="C19" s="40">
        <f t="shared" si="7"/>
        <v>1890544.816</v>
      </c>
      <c r="D19" s="40">
        <f t="shared" si="7"/>
        <v>3994569.276</v>
      </c>
      <c r="E19" s="40">
        <f t="shared" si="7"/>
        <v>5518732.492</v>
      </c>
      <c r="F19" s="40">
        <f t="shared" si="7"/>
        <v>7264477.058</v>
      </c>
      <c r="G19" s="40">
        <f t="shared" si="7"/>
        <v>9076024.751</v>
      </c>
      <c r="H19" s="40">
        <f t="shared" si="7"/>
        <v>10955328.23</v>
      </c>
      <c r="I19" s="40">
        <f t="shared" si="7"/>
        <v>12904391.96</v>
      </c>
      <c r="J19" s="40">
        <f t="shared" si="7"/>
        <v>13155478.18</v>
      </c>
      <c r="K19" s="40">
        <f t="shared" si="7"/>
        <v>13411586.13</v>
      </c>
      <c r="L19" s="40">
        <f t="shared" si="7"/>
        <v>13672816.23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0" t="s">
        <v>8</v>
      </c>
      <c r="B20" s="34">
        <f t="shared" ref="B20:L20" si="8">+B91</f>
        <v>701330.44</v>
      </c>
      <c r="C20" s="35">
        <f t="shared" si="8"/>
        <v>765000</v>
      </c>
      <c r="D20" s="35">
        <f t="shared" si="8"/>
        <v>580000</v>
      </c>
      <c r="E20" s="35">
        <f t="shared" si="8"/>
        <v>130000</v>
      </c>
      <c r="F20" s="35">
        <f t="shared" si="8"/>
        <v>30000</v>
      </c>
      <c r="G20" s="35">
        <f t="shared" si="8"/>
        <v>30000</v>
      </c>
      <c r="H20" s="35">
        <f t="shared" si="8"/>
        <v>30000</v>
      </c>
      <c r="I20" s="35">
        <f t="shared" si="8"/>
        <v>30000</v>
      </c>
      <c r="J20" s="35">
        <f t="shared" si="8"/>
        <v>30000</v>
      </c>
      <c r="K20" s="35">
        <f t="shared" si="8"/>
        <v>30000</v>
      </c>
      <c r="L20" s="35">
        <f t="shared" si="8"/>
        <v>30000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36" t="s">
        <v>9</v>
      </c>
      <c r="B21" s="41">
        <f t="shared" ref="B21:L21" si="9">+B93</f>
        <v>701330.44</v>
      </c>
      <c r="C21" s="42">
        <f t="shared" si="9"/>
        <v>2670544.816</v>
      </c>
      <c r="D21" s="42">
        <f t="shared" si="9"/>
        <v>4574569.276</v>
      </c>
      <c r="E21" s="42">
        <f t="shared" si="9"/>
        <v>5648732.492</v>
      </c>
      <c r="F21" s="42">
        <f t="shared" si="9"/>
        <v>7294477.058</v>
      </c>
      <c r="G21" s="42">
        <f t="shared" si="9"/>
        <v>9106024.751</v>
      </c>
      <c r="H21" s="42">
        <f t="shared" si="9"/>
        <v>10985328.23</v>
      </c>
      <c r="I21" s="42">
        <f t="shared" si="9"/>
        <v>12934391.96</v>
      </c>
      <c r="J21" s="42">
        <f t="shared" si="9"/>
        <v>13185478.18</v>
      </c>
      <c r="K21" s="42">
        <f t="shared" si="9"/>
        <v>13441586.13</v>
      </c>
      <c r="L21" s="42">
        <f t="shared" si="9"/>
        <v>13702816.23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29" t="s">
        <v>35</v>
      </c>
      <c r="B22" s="23"/>
      <c r="C22" s="43">
        <f t="shared" ref="C22:L22" si="10">+C21/C17</f>
        <v>24277.68015</v>
      </c>
      <c r="D22" s="43">
        <f t="shared" si="10"/>
        <v>20063.90033</v>
      </c>
      <c r="E22" s="43">
        <f t="shared" si="10"/>
        <v>18280.68767</v>
      </c>
      <c r="F22" s="43">
        <f t="shared" si="10"/>
        <v>18281.89739</v>
      </c>
      <c r="G22" s="43">
        <f t="shared" si="10"/>
        <v>18621.72751</v>
      </c>
      <c r="H22" s="43">
        <f t="shared" si="10"/>
        <v>18972.93305</v>
      </c>
      <c r="I22" s="43">
        <f t="shared" si="10"/>
        <v>19333.91922</v>
      </c>
      <c r="J22" s="43">
        <f t="shared" si="10"/>
        <v>19709.23495</v>
      </c>
      <c r="K22" s="43">
        <f t="shared" si="10"/>
        <v>20092.05699</v>
      </c>
      <c r="L22" s="43">
        <f t="shared" si="10"/>
        <v>20482.53548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45" t="s">
        <v>36</v>
      </c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0"/>
      <c r="B25" s="4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48" t="s">
        <v>37</v>
      </c>
      <c r="B26" s="4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hidden="1" customHeight="1" outlineLevel="1">
      <c r="A27" s="10" t="s">
        <v>38</v>
      </c>
      <c r="B27" s="49">
        <v>0.0</v>
      </c>
      <c r="C27" s="50">
        <v>0.0</v>
      </c>
      <c r="D27" s="50">
        <v>0.0</v>
      </c>
      <c r="E27" s="50">
        <v>0.0</v>
      </c>
      <c r="F27" s="50">
        <v>0.0</v>
      </c>
      <c r="G27" s="50">
        <v>0.0</v>
      </c>
      <c r="H27" s="50">
        <v>0.0</v>
      </c>
      <c r="I27" s="50">
        <v>0.0</v>
      </c>
      <c r="J27" s="50">
        <v>0.0</v>
      </c>
      <c r="K27" s="50">
        <v>0.0</v>
      </c>
      <c r="L27" s="50">
        <v>0.0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hidden="1" customHeight="1" outlineLevel="1">
      <c r="A28" s="10" t="s">
        <v>39</v>
      </c>
      <c r="B28" s="49">
        <v>0.0</v>
      </c>
      <c r="C28" s="50">
        <v>0.0</v>
      </c>
      <c r="D28" s="50">
        <v>0.0</v>
      </c>
      <c r="E28" s="50">
        <v>0.0</v>
      </c>
      <c r="F28" s="50">
        <v>0.0</v>
      </c>
      <c r="G28" s="50">
        <v>0.0</v>
      </c>
      <c r="H28" s="50">
        <v>0.0</v>
      </c>
      <c r="I28" s="50">
        <v>0.0</v>
      </c>
      <c r="J28" s="50">
        <v>0.0</v>
      </c>
      <c r="K28" s="50">
        <v>0.0</v>
      </c>
      <c r="L28" s="50">
        <v>0.0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hidden="1" customHeight="1" outlineLevel="1">
      <c r="A29" s="10" t="s">
        <v>40</v>
      </c>
      <c r="B29" s="49">
        <v>0.0</v>
      </c>
      <c r="C29" s="50">
        <v>0.0</v>
      </c>
      <c r="D29" s="50">
        <v>0.0</v>
      </c>
      <c r="E29" s="50">
        <v>0.0</v>
      </c>
      <c r="F29" s="50">
        <v>0.0</v>
      </c>
      <c r="G29" s="50">
        <v>0.0</v>
      </c>
      <c r="H29" s="50">
        <v>0.0</v>
      </c>
      <c r="I29" s="50">
        <v>0.0</v>
      </c>
      <c r="J29" s="50">
        <v>0.0</v>
      </c>
      <c r="K29" s="50">
        <v>0.0</v>
      </c>
      <c r="L29" s="50">
        <v>0.0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hidden="1" customHeight="1" outlineLevel="1">
      <c r="A30" s="10" t="s">
        <v>41</v>
      </c>
      <c r="B30" s="49">
        <v>0.0</v>
      </c>
      <c r="C30" s="50">
        <v>0.0</v>
      </c>
      <c r="D30" s="50">
        <v>0.0</v>
      </c>
      <c r="E30" s="50">
        <v>0.0</v>
      </c>
      <c r="F30" s="50">
        <v>0.0</v>
      </c>
      <c r="G30" s="50">
        <v>0.0</v>
      </c>
      <c r="H30" s="50">
        <v>0.0</v>
      </c>
      <c r="I30" s="50">
        <v>0.0</v>
      </c>
      <c r="J30" s="50">
        <v>0.0</v>
      </c>
      <c r="K30" s="50">
        <v>0.0</v>
      </c>
      <c r="L30" s="50">
        <v>0.0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hidden="1" customHeight="1" outlineLevel="1">
      <c r="A31" s="51" t="s">
        <v>42</v>
      </c>
      <c r="B31" s="52">
        <v>0.0</v>
      </c>
      <c r="C31" s="53">
        <v>0.0</v>
      </c>
      <c r="D31" s="53">
        <v>0.0</v>
      </c>
      <c r="E31" s="53">
        <v>0.0</v>
      </c>
      <c r="F31" s="53">
        <v>0.0</v>
      </c>
      <c r="G31" s="53">
        <v>0.0</v>
      </c>
      <c r="H31" s="53">
        <v>0.0</v>
      </c>
      <c r="I31" s="53">
        <v>0.0</v>
      </c>
      <c r="J31" s="53">
        <v>0.0</v>
      </c>
      <c r="K31" s="53">
        <v>0.0</v>
      </c>
      <c r="L31" s="53">
        <v>0.0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 collapsed="1">
      <c r="A32" s="10" t="s">
        <v>43</v>
      </c>
      <c r="B32" s="49">
        <v>0.0</v>
      </c>
      <c r="C32" s="50">
        <v>3.0</v>
      </c>
      <c r="D32" s="50">
        <v>3.0</v>
      </c>
      <c r="E32" s="50">
        <v>3.0</v>
      </c>
      <c r="F32" s="50">
        <v>3.0</v>
      </c>
      <c r="G32" s="50">
        <v>3.0</v>
      </c>
      <c r="H32" s="50">
        <v>3.0</v>
      </c>
      <c r="I32" s="50">
        <v>3.0</v>
      </c>
      <c r="J32" s="50">
        <v>3.0</v>
      </c>
      <c r="K32" s="50">
        <v>3.0</v>
      </c>
      <c r="L32" s="50">
        <v>3.0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0" t="s">
        <v>44</v>
      </c>
      <c r="B33" s="49">
        <v>0.0</v>
      </c>
      <c r="C33" s="54">
        <v>2.0</v>
      </c>
      <c r="D33" s="50">
        <v>3.0</v>
      </c>
      <c r="E33" s="50">
        <v>3.0</v>
      </c>
      <c r="F33" s="50">
        <v>3.0</v>
      </c>
      <c r="G33" s="50">
        <v>3.0</v>
      </c>
      <c r="H33" s="50">
        <v>3.0</v>
      </c>
      <c r="I33" s="50">
        <v>3.0</v>
      </c>
      <c r="J33" s="50">
        <v>3.0</v>
      </c>
      <c r="K33" s="50">
        <v>3.0</v>
      </c>
      <c r="L33" s="50">
        <v>3.0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10" t="s">
        <v>45</v>
      </c>
      <c r="B34" s="49">
        <v>0.0</v>
      </c>
      <c r="C34" s="50">
        <v>0.0</v>
      </c>
      <c r="D34" s="50">
        <v>3.0</v>
      </c>
      <c r="E34" s="50">
        <v>3.0</v>
      </c>
      <c r="F34" s="50">
        <v>3.0</v>
      </c>
      <c r="G34" s="50">
        <v>3.0</v>
      </c>
      <c r="H34" s="50">
        <v>3.0</v>
      </c>
      <c r="I34" s="50">
        <v>3.0</v>
      </c>
      <c r="J34" s="50">
        <v>3.0</v>
      </c>
      <c r="K34" s="50">
        <v>3.0</v>
      </c>
      <c r="L34" s="50">
        <v>3.0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0" t="s">
        <v>46</v>
      </c>
      <c r="B35" s="49">
        <v>0.0</v>
      </c>
      <c r="C35" s="50">
        <v>0.0</v>
      </c>
      <c r="D35" s="50">
        <v>0.0</v>
      </c>
      <c r="E35" s="50">
        <v>3.0</v>
      </c>
      <c r="F35" s="50">
        <v>3.0</v>
      </c>
      <c r="G35" s="50">
        <v>3.0</v>
      </c>
      <c r="H35" s="50">
        <v>3.0</v>
      </c>
      <c r="I35" s="50">
        <v>3.0</v>
      </c>
      <c r="J35" s="50">
        <v>3.0</v>
      </c>
      <c r="K35" s="50">
        <v>3.0</v>
      </c>
      <c r="L35" s="50">
        <v>3.0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55" t="s">
        <v>47</v>
      </c>
      <c r="B36" s="56">
        <v>0.0</v>
      </c>
      <c r="C36" s="57">
        <v>0.0</v>
      </c>
      <c r="D36" s="57">
        <v>0.0</v>
      </c>
      <c r="E36" s="57">
        <v>0.0</v>
      </c>
      <c r="F36" s="57">
        <v>3.0</v>
      </c>
      <c r="G36" s="57">
        <v>3.0</v>
      </c>
      <c r="H36" s="57">
        <v>3.0</v>
      </c>
      <c r="I36" s="57">
        <v>3.0</v>
      </c>
      <c r="J36" s="57">
        <v>3.0</v>
      </c>
      <c r="K36" s="57">
        <v>3.0</v>
      </c>
      <c r="L36" s="57">
        <v>3.0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0" t="s">
        <v>48</v>
      </c>
      <c r="B37" s="49">
        <v>0.0</v>
      </c>
      <c r="C37" s="50">
        <v>0.0</v>
      </c>
      <c r="D37" s="50">
        <v>0.0</v>
      </c>
      <c r="E37" s="50">
        <v>0.0</v>
      </c>
      <c r="F37" s="50">
        <v>0.0</v>
      </c>
      <c r="G37" s="50">
        <v>3.0</v>
      </c>
      <c r="H37" s="50">
        <v>3.0</v>
      </c>
      <c r="I37" s="50">
        <v>3.0</v>
      </c>
      <c r="J37" s="50">
        <v>3.0</v>
      </c>
      <c r="K37" s="50">
        <v>3.0</v>
      </c>
      <c r="L37" s="50">
        <v>3.0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0" t="s">
        <v>49</v>
      </c>
      <c r="B38" s="49">
        <v>0.0</v>
      </c>
      <c r="C38" s="50">
        <v>0.0</v>
      </c>
      <c r="D38" s="50">
        <v>0.0</v>
      </c>
      <c r="E38" s="50">
        <v>0.0</v>
      </c>
      <c r="F38" s="50">
        <v>0.0</v>
      </c>
      <c r="G38" s="50">
        <v>0.0</v>
      </c>
      <c r="H38" s="50">
        <v>3.0</v>
      </c>
      <c r="I38" s="50">
        <v>3.0</v>
      </c>
      <c r="J38" s="50">
        <v>3.0</v>
      </c>
      <c r="K38" s="50">
        <v>3.0</v>
      </c>
      <c r="L38" s="50">
        <v>3.0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0" t="s">
        <v>50</v>
      </c>
      <c r="B39" s="49">
        <v>0.0</v>
      </c>
      <c r="C39" s="50">
        <v>0.0</v>
      </c>
      <c r="D39" s="50">
        <v>0.0</v>
      </c>
      <c r="E39" s="50">
        <v>0.0</v>
      </c>
      <c r="F39" s="50">
        <v>0.0</v>
      </c>
      <c r="G39" s="50">
        <v>0.0</v>
      </c>
      <c r="H39" s="50">
        <v>0.0</v>
      </c>
      <c r="I39" s="50">
        <v>3.0</v>
      </c>
      <c r="J39" s="50">
        <v>3.0</v>
      </c>
      <c r="K39" s="50">
        <v>3.0</v>
      </c>
      <c r="L39" s="50">
        <v>3.0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36" t="s">
        <v>51</v>
      </c>
      <c r="B40" s="37">
        <f t="shared" ref="B40:L40" si="11">SUM(B27:B39)</f>
        <v>0</v>
      </c>
      <c r="C40" s="38">
        <f t="shared" si="11"/>
        <v>5</v>
      </c>
      <c r="D40" s="38">
        <f t="shared" si="11"/>
        <v>9</v>
      </c>
      <c r="E40" s="38">
        <f t="shared" si="11"/>
        <v>12</v>
      </c>
      <c r="F40" s="38">
        <f t="shared" si="11"/>
        <v>15</v>
      </c>
      <c r="G40" s="38">
        <f t="shared" si="11"/>
        <v>18</v>
      </c>
      <c r="H40" s="38">
        <f t="shared" si="11"/>
        <v>21</v>
      </c>
      <c r="I40" s="38">
        <f t="shared" si="11"/>
        <v>24</v>
      </c>
      <c r="J40" s="38">
        <f t="shared" si="11"/>
        <v>24</v>
      </c>
      <c r="K40" s="38">
        <f t="shared" si="11"/>
        <v>24</v>
      </c>
      <c r="L40" s="38">
        <f t="shared" si="11"/>
        <v>24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9"/>
      <c r="B41" s="4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10" t="s">
        <v>52</v>
      </c>
      <c r="B42" s="58">
        <f t="shared" ref="B42:B43" si="12">SUM(B29:B41)</f>
        <v>0</v>
      </c>
      <c r="C42" s="59">
        <v>22.0</v>
      </c>
      <c r="D42" s="60">
        <v>27.0</v>
      </c>
      <c r="E42" s="60">
        <v>27.0</v>
      </c>
      <c r="F42" s="60">
        <v>27.0</v>
      </c>
      <c r="G42" s="60">
        <v>27.0</v>
      </c>
      <c r="H42" s="60">
        <v>27.0</v>
      </c>
      <c r="I42" s="60">
        <v>27.0</v>
      </c>
      <c r="J42" s="60">
        <v>27.0</v>
      </c>
      <c r="K42" s="60">
        <v>27.0</v>
      </c>
      <c r="L42" s="60">
        <v>27.0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0" t="s">
        <v>53</v>
      </c>
      <c r="B43" s="58">
        <f t="shared" si="12"/>
        <v>0</v>
      </c>
      <c r="C43" s="60">
        <v>30.0</v>
      </c>
      <c r="D43" s="60">
        <v>30.0</v>
      </c>
      <c r="E43" s="60">
        <v>30.0</v>
      </c>
      <c r="F43" s="60">
        <v>30.0</v>
      </c>
      <c r="G43" s="60">
        <v>30.0</v>
      </c>
      <c r="H43" s="60">
        <v>30.0</v>
      </c>
      <c r="I43" s="60">
        <v>30.0</v>
      </c>
      <c r="J43" s="60">
        <v>30.0</v>
      </c>
      <c r="K43" s="60">
        <v>30.0</v>
      </c>
      <c r="L43" s="60">
        <v>30.0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10"/>
      <c r="B44" s="4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48" t="s">
        <v>54</v>
      </c>
      <c r="B45" s="44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hidden="1" customHeight="1" outlineLevel="1">
      <c r="A46" s="10" t="s">
        <v>38</v>
      </c>
      <c r="B46" s="61">
        <f t="shared" ref="B46:B50" si="14">ROUNDUP(B$42*B27,0)</f>
        <v>0</v>
      </c>
      <c r="C46" s="62">
        <f t="shared" ref="C46:L46" si="13">ROUNDUP(C$42*C27*C$63^(0),0)</f>
        <v>0</v>
      </c>
      <c r="D46" s="62">
        <f t="shared" si="13"/>
        <v>0</v>
      </c>
      <c r="E46" s="62">
        <f t="shared" si="13"/>
        <v>0</v>
      </c>
      <c r="F46" s="62">
        <f t="shared" si="13"/>
        <v>0</v>
      </c>
      <c r="G46" s="62">
        <f t="shared" si="13"/>
        <v>0</v>
      </c>
      <c r="H46" s="62">
        <f t="shared" si="13"/>
        <v>0</v>
      </c>
      <c r="I46" s="62">
        <f t="shared" si="13"/>
        <v>0</v>
      </c>
      <c r="J46" s="62">
        <f t="shared" si="13"/>
        <v>0</v>
      </c>
      <c r="K46" s="62">
        <f t="shared" si="13"/>
        <v>0</v>
      </c>
      <c r="L46" s="62">
        <f t="shared" si="13"/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hidden="1" customHeight="1" outlineLevel="1">
      <c r="A47" s="10" t="s">
        <v>39</v>
      </c>
      <c r="B47" s="61">
        <f t="shared" si="14"/>
        <v>0</v>
      </c>
      <c r="C47" s="62">
        <f t="shared" ref="C47:C50" si="16">ROUNDUP(C$42*C28*C$63^(0),0)</f>
        <v>0</v>
      </c>
      <c r="D47" s="62">
        <f t="shared" ref="D47:L47" si="15">ROUNDUP(D$42*D28*D$63^(1),0)</f>
        <v>0</v>
      </c>
      <c r="E47" s="62">
        <f t="shared" si="15"/>
        <v>0</v>
      </c>
      <c r="F47" s="62">
        <f t="shared" si="15"/>
        <v>0</v>
      </c>
      <c r="G47" s="62">
        <f t="shared" si="15"/>
        <v>0</v>
      </c>
      <c r="H47" s="62">
        <f t="shared" si="15"/>
        <v>0</v>
      </c>
      <c r="I47" s="62">
        <f t="shared" si="15"/>
        <v>0</v>
      </c>
      <c r="J47" s="62">
        <f t="shared" si="15"/>
        <v>0</v>
      </c>
      <c r="K47" s="62">
        <f t="shared" si="15"/>
        <v>0</v>
      </c>
      <c r="L47" s="62">
        <f t="shared" si="15"/>
        <v>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hidden="1" customHeight="1" outlineLevel="1">
      <c r="A48" s="10" t="s">
        <v>40</v>
      </c>
      <c r="B48" s="61">
        <f t="shared" si="14"/>
        <v>0</v>
      </c>
      <c r="C48" s="62">
        <f t="shared" si="16"/>
        <v>0</v>
      </c>
      <c r="D48" s="62">
        <f>ROUNDUP(D$42*D29*D$63^(1),0)</f>
        <v>0</v>
      </c>
      <c r="E48" s="62">
        <f t="shared" ref="E48:L48" si="17">ROUNDUP(E$42*E29*E$63^(2),0)</f>
        <v>0</v>
      </c>
      <c r="F48" s="62">
        <f t="shared" si="17"/>
        <v>0</v>
      </c>
      <c r="G48" s="62">
        <f t="shared" si="17"/>
        <v>0</v>
      </c>
      <c r="H48" s="62">
        <f t="shared" si="17"/>
        <v>0</v>
      </c>
      <c r="I48" s="62">
        <f t="shared" si="17"/>
        <v>0</v>
      </c>
      <c r="J48" s="62">
        <f t="shared" si="17"/>
        <v>0</v>
      </c>
      <c r="K48" s="62">
        <f t="shared" si="17"/>
        <v>0</v>
      </c>
      <c r="L48" s="62">
        <f t="shared" si="17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hidden="1" customHeight="1" outlineLevel="1">
      <c r="A49" s="10" t="s">
        <v>41</v>
      </c>
      <c r="B49" s="61">
        <f t="shared" si="14"/>
        <v>0</v>
      </c>
      <c r="C49" s="62">
        <f t="shared" si="16"/>
        <v>0</v>
      </c>
      <c r="D49" s="62">
        <f t="shared" ref="D49:D50" si="19">ROUNDUP(D$42*D30*D$63*(D$7-1),0)</f>
        <v>0</v>
      </c>
      <c r="E49" s="62">
        <f>ROUNDUP(E$42*E30*E$63^(2),0)</f>
        <v>0</v>
      </c>
      <c r="F49" s="62">
        <f t="shared" ref="F49:L49" si="18">ROUNDUP(F$42*F30*F$63^(3),0)</f>
        <v>0</v>
      </c>
      <c r="G49" s="62">
        <f t="shared" si="18"/>
        <v>0</v>
      </c>
      <c r="H49" s="62">
        <f t="shared" si="18"/>
        <v>0</v>
      </c>
      <c r="I49" s="62">
        <f t="shared" si="18"/>
        <v>0</v>
      </c>
      <c r="J49" s="62">
        <f t="shared" si="18"/>
        <v>0</v>
      </c>
      <c r="K49" s="62">
        <f t="shared" si="18"/>
        <v>0</v>
      </c>
      <c r="L49" s="62">
        <f t="shared" si="18"/>
        <v>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hidden="1" customHeight="1" outlineLevel="1">
      <c r="A50" s="51" t="s">
        <v>42</v>
      </c>
      <c r="B50" s="63">
        <f t="shared" si="14"/>
        <v>0</v>
      </c>
      <c r="C50" s="64">
        <f t="shared" si="16"/>
        <v>0</v>
      </c>
      <c r="D50" s="64">
        <f t="shared" si="19"/>
        <v>0</v>
      </c>
      <c r="E50" s="64">
        <f>ROUNDUP(E$42*E31*E$63,0)</f>
        <v>0</v>
      </c>
      <c r="F50" s="64">
        <f>ROUNDUP(F$42*F31*F$63^(3),0)</f>
        <v>0</v>
      </c>
      <c r="G50" s="64">
        <f t="shared" ref="G50:L50" si="20">ROUNDUP(G$42*G31*G$63^(4),0)</f>
        <v>0</v>
      </c>
      <c r="H50" s="64">
        <f t="shared" si="20"/>
        <v>0</v>
      </c>
      <c r="I50" s="64">
        <f t="shared" si="20"/>
        <v>0</v>
      </c>
      <c r="J50" s="64">
        <f t="shared" si="20"/>
        <v>0</v>
      </c>
      <c r="K50" s="64">
        <f t="shared" si="20"/>
        <v>0</v>
      </c>
      <c r="L50" s="64">
        <f t="shared" si="20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 collapsed="1">
      <c r="A51" s="10" t="s">
        <v>43</v>
      </c>
      <c r="B51" s="49">
        <f t="shared" ref="B51:C51" si="21">ROUNDUP(B$42*B32*B$63,0)</f>
        <v>0</v>
      </c>
      <c r="C51" s="62">
        <f t="shared" si="21"/>
        <v>66</v>
      </c>
      <c r="D51" s="62">
        <f t="shared" ref="D51:L51" si="22">C51</f>
        <v>66</v>
      </c>
      <c r="E51" s="62">
        <f t="shared" si="22"/>
        <v>66</v>
      </c>
      <c r="F51" s="62">
        <f t="shared" si="22"/>
        <v>66</v>
      </c>
      <c r="G51" s="62">
        <f t="shared" si="22"/>
        <v>66</v>
      </c>
      <c r="H51" s="62">
        <f t="shared" si="22"/>
        <v>66</v>
      </c>
      <c r="I51" s="62">
        <f t="shared" si="22"/>
        <v>66</v>
      </c>
      <c r="J51" s="62">
        <f t="shared" si="22"/>
        <v>66</v>
      </c>
      <c r="K51" s="62">
        <f t="shared" si="22"/>
        <v>66</v>
      </c>
      <c r="L51" s="62">
        <f t="shared" si="22"/>
        <v>66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 t="s">
        <v>44</v>
      </c>
      <c r="B52" s="61">
        <f t="shared" ref="B52:L52" si="23">ROUNDUP(B$42*B33*B$63,0)</f>
        <v>0</v>
      </c>
      <c r="C52" s="62">
        <f t="shared" si="23"/>
        <v>44</v>
      </c>
      <c r="D52" s="62">
        <f t="shared" si="23"/>
        <v>81</v>
      </c>
      <c r="E52" s="62">
        <f t="shared" si="23"/>
        <v>81</v>
      </c>
      <c r="F52" s="62">
        <f t="shared" si="23"/>
        <v>81</v>
      </c>
      <c r="G52" s="62">
        <f t="shared" si="23"/>
        <v>81</v>
      </c>
      <c r="H52" s="62">
        <f t="shared" si="23"/>
        <v>81</v>
      </c>
      <c r="I52" s="62">
        <f t="shared" si="23"/>
        <v>81</v>
      </c>
      <c r="J52" s="62">
        <f t="shared" si="23"/>
        <v>81</v>
      </c>
      <c r="K52" s="62">
        <f t="shared" si="23"/>
        <v>81</v>
      </c>
      <c r="L52" s="62">
        <f t="shared" si="23"/>
        <v>81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 t="s">
        <v>45</v>
      </c>
      <c r="B53" s="61">
        <f t="shared" ref="B53:L53" si="24">ROUNDUP(B$42*B34*B$63,0)</f>
        <v>0</v>
      </c>
      <c r="C53" s="62">
        <f t="shared" si="24"/>
        <v>0</v>
      </c>
      <c r="D53" s="62">
        <f t="shared" si="24"/>
        <v>81</v>
      </c>
      <c r="E53" s="62">
        <f t="shared" si="24"/>
        <v>81</v>
      </c>
      <c r="F53" s="62">
        <f t="shared" si="24"/>
        <v>81</v>
      </c>
      <c r="G53" s="62">
        <f t="shared" si="24"/>
        <v>81</v>
      </c>
      <c r="H53" s="62">
        <f t="shared" si="24"/>
        <v>81</v>
      </c>
      <c r="I53" s="62">
        <f t="shared" si="24"/>
        <v>81</v>
      </c>
      <c r="J53" s="62">
        <f t="shared" si="24"/>
        <v>81</v>
      </c>
      <c r="K53" s="62">
        <f t="shared" si="24"/>
        <v>81</v>
      </c>
      <c r="L53" s="62">
        <f t="shared" si="24"/>
        <v>81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0" t="s">
        <v>46</v>
      </c>
      <c r="B54" s="61">
        <f t="shared" ref="B54:L54" si="25">ROUNDUP(B$42*B35*B$63,0)</f>
        <v>0</v>
      </c>
      <c r="C54" s="62">
        <f t="shared" si="25"/>
        <v>0</v>
      </c>
      <c r="D54" s="62">
        <f t="shared" si="25"/>
        <v>0</v>
      </c>
      <c r="E54" s="62">
        <f t="shared" si="25"/>
        <v>81</v>
      </c>
      <c r="F54" s="62">
        <f t="shared" si="25"/>
        <v>81</v>
      </c>
      <c r="G54" s="62">
        <f t="shared" si="25"/>
        <v>81</v>
      </c>
      <c r="H54" s="62">
        <f t="shared" si="25"/>
        <v>81</v>
      </c>
      <c r="I54" s="62">
        <f t="shared" si="25"/>
        <v>81</v>
      </c>
      <c r="J54" s="62">
        <f t="shared" si="25"/>
        <v>81</v>
      </c>
      <c r="K54" s="62">
        <f t="shared" si="25"/>
        <v>81</v>
      </c>
      <c r="L54" s="62">
        <f t="shared" si="25"/>
        <v>81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55" t="s">
        <v>47</v>
      </c>
      <c r="B55" s="56">
        <f t="shared" ref="B55:B58" si="27">ROUNDUP(B$42*B36*B$63,0)</f>
        <v>0</v>
      </c>
      <c r="C55" s="65">
        <f t="shared" ref="C55:L55" si="26">ROUNDUP(C$43*C36*C$63,0)</f>
        <v>0</v>
      </c>
      <c r="D55" s="65">
        <f t="shared" si="26"/>
        <v>0</v>
      </c>
      <c r="E55" s="65">
        <f t="shared" si="26"/>
        <v>0</v>
      </c>
      <c r="F55" s="65">
        <f t="shared" si="26"/>
        <v>90</v>
      </c>
      <c r="G55" s="65">
        <f t="shared" si="26"/>
        <v>90</v>
      </c>
      <c r="H55" s="65">
        <f t="shared" si="26"/>
        <v>90</v>
      </c>
      <c r="I55" s="65">
        <f t="shared" si="26"/>
        <v>90</v>
      </c>
      <c r="J55" s="65">
        <f t="shared" si="26"/>
        <v>90</v>
      </c>
      <c r="K55" s="65">
        <f t="shared" si="26"/>
        <v>90</v>
      </c>
      <c r="L55" s="65">
        <f t="shared" si="26"/>
        <v>90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 t="s">
        <v>48</v>
      </c>
      <c r="B56" s="61">
        <f t="shared" si="27"/>
        <v>0</v>
      </c>
      <c r="C56" s="62">
        <f t="shared" ref="C56:L56" si="28">ROUNDUP(C$43*C37*C$63,0)</f>
        <v>0</v>
      </c>
      <c r="D56" s="62">
        <f t="shared" si="28"/>
        <v>0</v>
      </c>
      <c r="E56" s="62">
        <f t="shared" si="28"/>
        <v>0</v>
      </c>
      <c r="F56" s="62">
        <f t="shared" si="28"/>
        <v>0</v>
      </c>
      <c r="G56" s="62">
        <f t="shared" si="28"/>
        <v>90</v>
      </c>
      <c r="H56" s="62">
        <f t="shared" si="28"/>
        <v>90</v>
      </c>
      <c r="I56" s="62">
        <f t="shared" si="28"/>
        <v>90</v>
      </c>
      <c r="J56" s="62">
        <f t="shared" si="28"/>
        <v>90</v>
      </c>
      <c r="K56" s="62">
        <f t="shared" si="28"/>
        <v>90</v>
      </c>
      <c r="L56" s="62">
        <f t="shared" si="28"/>
        <v>90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 t="s">
        <v>49</v>
      </c>
      <c r="B57" s="61">
        <f t="shared" si="27"/>
        <v>0</v>
      </c>
      <c r="C57" s="62">
        <f t="shared" ref="C57:L57" si="29">ROUNDUP(C$43*C38*C$63,0)</f>
        <v>0</v>
      </c>
      <c r="D57" s="62">
        <f t="shared" si="29"/>
        <v>0</v>
      </c>
      <c r="E57" s="62">
        <f t="shared" si="29"/>
        <v>0</v>
      </c>
      <c r="F57" s="62">
        <f t="shared" si="29"/>
        <v>0</v>
      </c>
      <c r="G57" s="62">
        <f t="shared" si="29"/>
        <v>0</v>
      </c>
      <c r="H57" s="62">
        <f t="shared" si="29"/>
        <v>90</v>
      </c>
      <c r="I57" s="62">
        <f t="shared" si="29"/>
        <v>90</v>
      </c>
      <c r="J57" s="62">
        <f t="shared" si="29"/>
        <v>90</v>
      </c>
      <c r="K57" s="62">
        <f t="shared" si="29"/>
        <v>90</v>
      </c>
      <c r="L57" s="62">
        <f t="shared" si="29"/>
        <v>90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10" t="s">
        <v>50</v>
      </c>
      <c r="B58" s="61">
        <f t="shared" si="27"/>
        <v>0</v>
      </c>
      <c r="C58" s="62">
        <f t="shared" ref="C58:L58" si="30">ROUNDUP(C$43*C39*C$63,0)</f>
        <v>0</v>
      </c>
      <c r="D58" s="62">
        <f t="shared" si="30"/>
        <v>0</v>
      </c>
      <c r="E58" s="62">
        <f t="shared" si="30"/>
        <v>0</v>
      </c>
      <c r="F58" s="62">
        <f t="shared" si="30"/>
        <v>0</v>
      </c>
      <c r="G58" s="62">
        <f t="shared" si="30"/>
        <v>0</v>
      </c>
      <c r="H58" s="62">
        <f t="shared" si="30"/>
        <v>0</v>
      </c>
      <c r="I58" s="62">
        <f t="shared" si="30"/>
        <v>90</v>
      </c>
      <c r="J58" s="62">
        <f t="shared" si="30"/>
        <v>90</v>
      </c>
      <c r="K58" s="62">
        <f t="shared" si="30"/>
        <v>90</v>
      </c>
      <c r="L58" s="62">
        <f t="shared" si="30"/>
        <v>90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66" t="s">
        <v>30</v>
      </c>
      <c r="B59" s="67">
        <f t="shared" ref="B59:L59" si="31">SUM(B46:B58)</f>
        <v>0</v>
      </c>
      <c r="C59" s="68">
        <f t="shared" si="31"/>
        <v>110</v>
      </c>
      <c r="D59" s="68">
        <f t="shared" si="31"/>
        <v>228</v>
      </c>
      <c r="E59" s="68">
        <f t="shared" si="31"/>
        <v>309</v>
      </c>
      <c r="F59" s="68">
        <f t="shared" si="31"/>
        <v>399</v>
      </c>
      <c r="G59" s="68">
        <f t="shared" si="31"/>
        <v>489</v>
      </c>
      <c r="H59" s="68">
        <f t="shared" si="31"/>
        <v>579</v>
      </c>
      <c r="I59" s="68">
        <f t="shared" si="31"/>
        <v>669</v>
      </c>
      <c r="J59" s="68">
        <f t="shared" si="31"/>
        <v>669</v>
      </c>
      <c r="K59" s="68">
        <f t="shared" si="31"/>
        <v>669</v>
      </c>
      <c r="L59" s="68">
        <f t="shared" si="31"/>
        <v>669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9"/>
      <c r="B60" s="25"/>
      <c r="C60" s="26"/>
      <c r="D60" s="26"/>
      <c r="E60" s="26"/>
      <c r="F60" s="26"/>
      <c r="G60" s="26"/>
      <c r="H60" s="26"/>
      <c r="I60" s="26"/>
      <c r="J60" s="69"/>
      <c r="K60" s="26"/>
      <c r="L60" s="2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2" t="s">
        <v>55</v>
      </c>
      <c r="B61" s="70">
        <v>0.0</v>
      </c>
      <c r="C61" s="71">
        <v>0.0</v>
      </c>
      <c r="D61" s="72">
        <v>0.95</v>
      </c>
      <c r="E61" s="72">
        <v>0.95</v>
      </c>
      <c r="F61" s="72">
        <v>0.95</v>
      </c>
      <c r="G61" s="72">
        <v>0.95</v>
      </c>
      <c r="H61" s="72">
        <v>0.95</v>
      </c>
      <c r="I61" s="72">
        <v>0.95</v>
      </c>
      <c r="J61" s="72">
        <v>0.95</v>
      </c>
      <c r="K61" s="72">
        <v>0.95</v>
      </c>
      <c r="L61" s="72">
        <v>0.95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73" t="s">
        <v>56</v>
      </c>
      <c r="B62" s="70">
        <v>0.0</v>
      </c>
      <c r="C62" s="71">
        <v>1.0</v>
      </c>
      <c r="D62" s="72">
        <v>0.05</v>
      </c>
      <c r="E62" s="72">
        <v>0.05</v>
      </c>
      <c r="F62" s="72">
        <v>0.05</v>
      </c>
      <c r="G62" s="72">
        <v>0.05</v>
      </c>
      <c r="H62" s="72">
        <v>0.05</v>
      </c>
      <c r="I62" s="72">
        <v>0.05</v>
      </c>
      <c r="J62" s="72">
        <v>0.05</v>
      </c>
      <c r="K62" s="72">
        <v>0.05</v>
      </c>
      <c r="L62" s="72">
        <v>0.05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36" t="s">
        <v>57</v>
      </c>
      <c r="B63" s="74">
        <f t="shared" ref="B63:L63" si="32">B61+B62</f>
        <v>0</v>
      </c>
      <c r="C63" s="75">
        <f t="shared" si="32"/>
        <v>1</v>
      </c>
      <c r="D63" s="75">
        <f t="shared" si="32"/>
        <v>1</v>
      </c>
      <c r="E63" s="75">
        <f t="shared" si="32"/>
        <v>1</v>
      </c>
      <c r="F63" s="75">
        <f t="shared" si="32"/>
        <v>1</v>
      </c>
      <c r="G63" s="75">
        <f t="shared" si="32"/>
        <v>1</v>
      </c>
      <c r="H63" s="75">
        <f t="shared" si="32"/>
        <v>1</v>
      </c>
      <c r="I63" s="75">
        <f t="shared" si="32"/>
        <v>1</v>
      </c>
      <c r="J63" s="75">
        <f t="shared" si="32"/>
        <v>1</v>
      </c>
      <c r="K63" s="75">
        <f t="shared" si="32"/>
        <v>1</v>
      </c>
      <c r="L63" s="75">
        <f t="shared" si="32"/>
        <v>1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4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76" t="s">
        <v>58</v>
      </c>
      <c r="B65" s="77"/>
      <c r="C65" s="72">
        <v>0.98</v>
      </c>
      <c r="D65" s="72">
        <v>0.98</v>
      </c>
      <c r="E65" s="72">
        <v>0.98</v>
      </c>
      <c r="F65" s="72">
        <v>0.98</v>
      </c>
      <c r="G65" s="72">
        <v>0.98</v>
      </c>
      <c r="H65" s="72">
        <v>0.98</v>
      </c>
      <c r="I65" s="72">
        <v>0.98</v>
      </c>
      <c r="J65" s="72">
        <v>0.98</v>
      </c>
      <c r="K65" s="72">
        <v>0.98</v>
      </c>
      <c r="L65" s="72">
        <v>0.98</v>
      </c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ht="15.75" customHeight="1">
      <c r="A66" s="10"/>
      <c r="B66" s="4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45" t="s">
        <v>59</v>
      </c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44"/>
      <c r="C68" s="78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48" t="s">
        <v>7</v>
      </c>
      <c r="B69" s="4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79" t="s">
        <v>60</v>
      </c>
      <c r="B70" s="80"/>
      <c r="C70" s="81">
        <v>16313.57315</v>
      </c>
      <c r="D70" s="82">
        <f t="shared" ref="D70:L70" si="33">C70*(1+D71)</f>
        <v>16639.84461</v>
      </c>
      <c r="E70" s="82">
        <f t="shared" si="33"/>
        <v>16972.64151</v>
      </c>
      <c r="F70" s="82">
        <f t="shared" si="33"/>
        <v>17312.09434</v>
      </c>
      <c r="G70" s="82">
        <f t="shared" si="33"/>
        <v>17658.33622</v>
      </c>
      <c r="H70" s="82">
        <f t="shared" si="33"/>
        <v>18011.50295</v>
      </c>
      <c r="I70" s="82">
        <f t="shared" si="33"/>
        <v>18371.73301</v>
      </c>
      <c r="J70" s="82">
        <f t="shared" si="33"/>
        <v>18739.16767</v>
      </c>
      <c r="K70" s="82">
        <f t="shared" si="33"/>
        <v>19113.95102</v>
      </c>
      <c r="L70" s="82">
        <f t="shared" si="33"/>
        <v>19496.23004</v>
      </c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ht="15.75" customHeight="1">
      <c r="A71" s="29" t="s">
        <v>61</v>
      </c>
      <c r="B71" s="44"/>
      <c r="C71" s="10"/>
      <c r="D71" s="83">
        <v>0.02</v>
      </c>
      <c r="E71" s="83">
        <v>0.02</v>
      </c>
      <c r="F71" s="83">
        <v>0.02</v>
      </c>
      <c r="G71" s="83">
        <v>0.02</v>
      </c>
      <c r="H71" s="83">
        <v>0.02</v>
      </c>
      <c r="I71" s="83">
        <v>0.02</v>
      </c>
      <c r="J71" s="83">
        <v>0.02</v>
      </c>
      <c r="K71" s="83">
        <v>0.02</v>
      </c>
      <c r="L71" s="83">
        <v>0.02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 t="s">
        <v>62</v>
      </c>
      <c r="B72" s="84"/>
      <c r="C72" s="85">
        <v>744.1</v>
      </c>
      <c r="D72" s="86">
        <f t="shared" ref="D72:L72" si="34">C72*(1+D73)</f>
        <v>758.982</v>
      </c>
      <c r="E72" s="86">
        <f t="shared" si="34"/>
        <v>774.16164</v>
      </c>
      <c r="F72" s="86">
        <f t="shared" si="34"/>
        <v>789.6448728</v>
      </c>
      <c r="G72" s="86">
        <f t="shared" si="34"/>
        <v>805.4377703</v>
      </c>
      <c r="H72" s="86">
        <f t="shared" si="34"/>
        <v>821.5465257</v>
      </c>
      <c r="I72" s="86">
        <f t="shared" si="34"/>
        <v>837.9774562</v>
      </c>
      <c r="J72" s="86">
        <f t="shared" si="34"/>
        <v>854.7370053</v>
      </c>
      <c r="K72" s="86">
        <f t="shared" si="34"/>
        <v>871.8317454</v>
      </c>
      <c r="L72" s="86">
        <f t="shared" si="34"/>
        <v>889.2683803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29" t="s">
        <v>61</v>
      </c>
      <c r="B73" s="44"/>
      <c r="C73" s="10"/>
      <c r="D73" s="83">
        <v>0.02</v>
      </c>
      <c r="E73" s="83">
        <v>0.02</v>
      </c>
      <c r="F73" s="83">
        <v>0.02</v>
      </c>
      <c r="G73" s="83">
        <v>0.02</v>
      </c>
      <c r="H73" s="83">
        <v>0.02</v>
      </c>
      <c r="I73" s="83">
        <v>0.02</v>
      </c>
      <c r="J73" s="83">
        <v>0.02</v>
      </c>
      <c r="K73" s="83">
        <v>0.02</v>
      </c>
      <c r="L73" s="83">
        <v>0.02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87" t="s">
        <v>63</v>
      </c>
      <c r="B74" s="88"/>
      <c r="C74" s="89">
        <v>0.4</v>
      </c>
      <c r="D74" s="89">
        <v>0.4</v>
      </c>
      <c r="E74" s="89">
        <v>0.4</v>
      </c>
      <c r="F74" s="89">
        <v>0.4</v>
      </c>
      <c r="G74" s="89">
        <v>0.4</v>
      </c>
      <c r="H74" s="89">
        <v>0.4</v>
      </c>
      <c r="I74" s="89">
        <v>0.4</v>
      </c>
      <c r="J74" s="89">
        <v>0.4</v>
      </c>
      <c r="K74" s="89">
        <v>0.4</v>
      </c>
      <c r="L74" s="89">
        <v>0.4</v>
      </c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ht="15.75" customHeight="1">
      <c r="A75" s="10" t="s">
        <v>64</v>
      </c>
      <c r="B75" s="84"/>
      <c r="C75" s="85">
        <v>2452.12</v>
      </c>
      <c r="D75" s="86">
        <f t="shared" ref="D75:L75" si="35">C75*(1+D76)</f>
        <v>2501.1624</v>
      </c>
      <c r="E75" s="86">
        <f t="shared" si="35"/>
        <v>2551.185648</v>
      </c>
      <c r="F75" s="86">
        <f t="shared" si="35"/>
        <v>2602.209361</v>
      </c>
      <c r="G75" s="86">
        <f t="shared" si="35"/>
        <v>2654.253548</v>
      </c>
      <c r="H75" s="86">
        <f t="shared" si="35"/>
        <v>2707.338619</v>
      </c>
      <c r="I75" s="86">
        <f t="shared" si="35"/>
        <v>2761.485392</v>
      </c>
      <c r="J75" s="86">
        <f t="shared" si="35"/>
        <v>2816.715099</v>
      </c>
      <c r="K75" s="86">
        <f t="shared" si="35"/>
        <v>2873.049401</v>
      </c>
      <c r="L75" s="86">
        <f t="shared" si="35"/>
        <v>2930.510389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29" t="s">
        <v>61</v>
      </c>
      <c r="B76" s="44"/>
      <c r="C76" s="10"/>
      <c r="D76" s="83">
        <v>0.02</v>
      </c>
      <c r="E76" s="83">
        <v>0.02</v>
      </c>
      <c r="F76" s="83">
        <v>0.02</v>
      </c>
      <c r="G76" s="83">
        <v>0.02</v>
      </c>
      <c r="H76" s="83">
        <v>0.02</v>
      </c>
      <c r="I76" s="83">
        <v>0.02</v>
      </c>
      <c r="J76" s="83">
        <v>0.02</v>
      </c>
      <c r="K76" s="83">
        <v>0.02</v>
      </c>
      <c r="L76" s="83">
        <v>0.02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87" t="s">
        <v>63</v>
      </c>
      <c r="B77" s="88"/>
      <c r="C77" s="89">
        <v>0.16</v>
      </c>
      <c r="D77" s="89">
        <v>0.16</v>
      </c>
      <c r="E77" s="89">
        <v>0.16</v>
      </c>
      <c r="F77" s="89">
        <v>0.16</v>
      </c>
      <c r="G77" s="89">
        <v>0.16</v>
      </c>
      <c r="H77" s="89">
        <v>0.16</v>
      </c>
      <c r="I77" s="89">
        <v>0.16</v>
      </c>
      <c r="J77" s="89">
        <v>0.16</v>
      </c>
      <c r="K77" s="89">
        <v>0.16</v>
      </c>
      <c r="L77" s="89">
        <v>0.16</v>
      </c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ht="15.75" customHeight="1">
      <c r="A78" s="10" t="s">
        <v>65</v>
      </c>
      <c r="B78" s="90"/>
      <c r="C78" s="91">
        <v>533.9691358024692</v>
      </c>
      <c r="D78" s="91">
        <v>533.9691358024692</v>
      </c>
      <c r="E78" s="91">
        <v>533.9691358024692</v>
      </c>
      <c r="F78" s="91">
        <v>533.9691358024692</v>
      </c>
      <c r="G78" s="91">
        <v>533.9691358024692</v>
      </c>
      <c r="H78" s="91">
        <v>533.9691358024692</v>
      </c>
      <c r="I78" s="91">
        <v>533.9691358024692</v>
      </c>
      <c r="J78" s="91">
        <v>533.9691358024692</v>
      </c>
      <c r="K78" s="91">
        <v>533.9691358024692</v>
      </c>
      <c r="L78" s="91">
        <v>533.9691358024692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36" t="s">
        <v>66</v>
      </c>
      <c r="B79" s="92">
        <f>B70+B72*B74+B75*B77</f>
        <v>0</v>
      </c>
      <c r="C79" s="93">
        <f t="shared" ref="C79:L79" si="36">C70+C72*C74+C75*C77+C78</f>
        <v>17537.52149</v>
      </c>
      <c r="D79" s="93">
        <f t="shared" si="36"/>
        <v>17877.59253</v>
      </c>
      <c r="E79" s="93">
        <f t="shared" si="36"/>
        <v>18224.465</v>
      </c>
      <c r="F79" s="93">
        <f t="shared" si="36"/>
        <v>18578.27492</v>
      </c>
      <c r="G79" s="93">
        <f t="shared" si="36"/>
        <v>18939.16103</v>
      </c>
      <c r="H79" s="93">
        <f t="shared" si="36"/>
        <v>19307.26487</v>
      </c>
      <c r="I79" s="93">
        <f t="shared" si="36"/>
        <v>19682.73079</v>
      </c>
      <c r="J79" s="93">
        <f t="shared" si="36"/>
        <v>20065.70602</v>
      </c>
      <c r="K79" s="93">
        <f t="shared" si="36"/>
        <v>20456.34076</v>
      </c>
      <c r="L79" s="93">
        <f t="shared" si="36"/>
        <v>20854.78819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4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36" t="s">
        <v>67</v>
      </c>
      <c r="B81" s="92">
        <f>B79*B59</f>
        <v>0</v>
      </c>
      <c r="C81" s="93">
        <f t="shared" ref="C81:L81" si="37">C79*C59*C65</f>
        <v>1890544.816</v>
      </c>
      <c r="D81" s="93">
        <f t="shared" si="37"/>
        <v>3994569.276</v>
      </c>
      <c r="E81" s="93">
        <f t="shared" si="37"/>
        <v>5518732.492</v>
      </c>
      <c r="F81" s="93">
        <f t="shared" si="37"/>
        <v>7264477.058</v>
      </c>
      <c r="G81" s="93">
        <f t="shared" si="37"/>
        <v>9076024.751</v>
      </c>
      <c r="H81" s="93">
        <f t="shared" si="37"/>
        <v>10955328.23</v>
      </c>
      <c r="I81" s="93">
        <f t="shared" si="37"/>
        <v>12904391.96</v>
      </c>
      <c r="J81" s="93">
        <f t="shared" si="37"/>
        <v>13155478.18</v>
      </c>
      <c r="K81" s="93">
        <f t="shared" si="37"/>
        <v>13411586.13</v>
      </c>
      <c r="L81" s="93">
        <f t="shared" si="37"/>
        <v>13672816.23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44"/>
      <c r="C82" s="8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48" t="s">
        <v>8</v>
      </c>
      <c r="B83" s="4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94" t="s">
        <v>68</v>
      </c>
      <c r="B84" s="95">
        <v>261730.44</v>
      </c>
      <c r="C84" s="96">
        <v>0.0</v>
      </c>
      <c r="D84" s="96">
        <v>0.0</v>
      </c>
      <c r="E84" s="96">
        <v>0.0</v>
      </c>
      <c r="F84" s="96">
        <v>0.0</v>
      </c>
      <c r="G84" s="96">
        <v>0.0</v>
      </c>
      <c r="H84" s="96">
        <v>0.0</v>
      </c>
      <c r="I84" s="96">
        <v>0.0</v>
      </c>
      <c r="J84" s="96">
        <v>0.0</v>
      </c>
      <c r="K84" s="96">
        <v>0.0</v>
      </c>
      <c r="L84" s="96">
        <v>0.0</v>
      </c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ht="15.75" customHeight="1">
      <c r="A85" s="94" t="s">
        <v>69</v>
      </c>
      <c r="B85" s="97">
        <v>0.0</v>
      </c>
      <c r="C85" s="98">
        <v>0.0</v>
      </c>
      <c r="D85" s="99">
        <v>250000.0</v>
      </c>
      <c r="E85" s="98">
        <v>0.0</v>
      </c>
      <c r="F85" s="98">
        <v>0.0</v>
      </c>
      <c r="G85" s="98">
        <v>0.0</v>
      </c>
      <c r="H85" s="98">
        <v>0.0</v>
      </c>
      <c r="I85" s="98">
        <v>0.0</v>
      </c>
      <c r="J85" s="98">
        <v>0.0</v>
      </c>
      <c r="K85" s="98">
        <v>0.0</v>
      </c>
      <c r="L85" s="98">
        <v>0.0</v>
      </c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ht="15.75" customHeight="1">
      <c r="A86" s="94" t="s">
        <v>70</v>
      </c>
      <c r="B86" s="97">
        <v>0.0</v>
      </c>
      <c r="C86" s="98">
        <v>0.0</v>
      </c>
      <c r="D86" s="98">
        <v>200000.0</v>
      </c>
      <c r="E86" s="98">
        <v>0.0</v>
      </c>
      <c r="F86" s="98">
        <v>0.0</v>
      </c>
      <c r="G86" s="98">
        <v>0.0</v>
      </c>
      <c r="H86" s="98">
        <v>0.0</v>
      </c>
      <c r="I86" s="98">
        <v>0.0</v>
      </c>
      <c r="J86" s="98">
        <v>0.0</v>
      </c>
      <c r="K86" s="98">
        <v>0.0</v>
      </c>
      <c r="L86" s="98">
        <v>0.0</v>
      </c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ht="15.75" customHeight="1">
      <c r="A87" s="94" t="s">
        <v>71</v>
      </c>
      <c r="B87" s="97">
        <v>175000.0</v>
      </c>
      <c r="C87" s="98">
        <v>25000.0</v>
      </c>
      <c r="D87" s="98">
        <v>0.0</v>
      </c>
      <c r="E87" s="98">
        <v>0.0</v>
      </c>
      <c r="F87" s="98">
        <v>0.0</v>
      </c>
      <c r="G87" s="98">
        <v>0.0</v>
      </c>
      <c r="H87" s="98">
        <v>0.0</v>
      </c>
      <c r="I87" s="98">
        <v>0.0</v>
      </c>
      <c r="J87" s="98">
        <v>0.0</v>
      </c>
      <c r="K87" s="98">
        <v>0.0</v>
      </c>
      <c r="L87" s="98">
        <v>0.0</v>
      </c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ht="15.75" customHeight="1">
      <c r="A88" s="94" t="s">
        <v>72</v>
      </c>
      <c r="B88" s="100">
        <v>210000.0</v>
      </c>
      <c r="C88" s="98">
        <f>165000+325000</f>
        <v>490000</v>
      </c>
      <c r="D88" s="98"/>
      <c r="E88" s="98"/>
      <c r="F88" s="98"/>
      <c r="G88" s="98"/>
      <c r="H88" s="98"/>
      <c r="I88" s="98"/>
      <c r="J88" s="98"/>
      <c r="K88" s="98"/>
      <c r="L88" s="98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ht="15.75" customHeight="1">
      <c r="A89" s="94" t="s">
        <v>73</v>
      </c>
      <c r="B89" s="100">
        <v>0.0</v>
      </c>
      <c r="C89" s="99">
        <v>220000.0</v>
      </c>
      <c r="D89" s="99">
        <v>100000.0</v>
      </c>
      <c r="E89" s="99">
        <v>100000.0</v>
      </c>
      <c r="F89" s="98">
        <v>0.0</v>
      </c>
      <c r="G89" s="98">
        <v>0.0</v>
      </c>
      <c r="H89" s="98">
        <v>0.0</v>
      </c>
      <c r="I89" s="98">
        <v>0.0</v>
      </c>
      <c r="J89" s="98">
        <v>0.0</v>
      </c>
      <c r="K89" s="98">
        <v>0.0</v>
      </c>
      <c r="L89" s="98">
        <v>0.0</v>
      </c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ht="15.75" customHeight="1">
      <c r="A90" s="76" t="s">
        <v>74</v>
      </c>
      <c r="B90" s="101">
        <v>54600.0</v>
      </c>
      <c r="C90" s="102">
        <v>30000.0</v>
      </c>
      <c r="D90" s="102">
        <v>30000.0</v>
      </c>
      <c r="E90" s="102">
        <v>30000.0</v>
      </c>
      <c r="F90" s="102">
        <v>30000.0</v>
      </c>
      <c r="G90" s="102">
        <v>30000.0</v>
      </c>
      <c r="H90" s="102">
        <v>30000.0</v>
      </c>
      <c r="I90" s="102">
        <v>30000.0</v>
      </c>
      <c r="J90" s="102">
        <v>30000.0</v>
      </c>
      <c r="K90" s="102">
        <v>30000.0</v>
      </c>
      <c r="L90" s="102">
        <v>30000.0</v>
      </c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ht="15.75" customHeight="1">
      <c r="A91" s="36" t="s">
        <v>75</v>
      </c>
      <c r="B91" s="41">
        <f t="shared" ref="B91:L91" si="38">SUM(B84:B90)</f>
        <v>701330.44</v>
      </c>
      <c r="C91" s="42">
        <f t="shared" si="38"/>
        <v>765000</v>
      </c>
      <c r="D91" s="42">
        <f t="shared" si="38"/>
        <v>580000</v>
      </c>
      <c r="E91" s="42">
        <f t="shared" si="38"/>
        <v>130000</v>
      </c>
      <c r="F91" s="42">
        <f t="shared" si="38"/>
        <v>30000</v>
      </c>
      <c r="G91" s="42">
        <f t="shared" si="38"/>
        <v>30000</v>
      </c>
      <c r="H91" s="42">
        <f t="shared" si="38"/>
        <v>30000</v>
      </c>
      <c r="I91" s="42">
        <f t="shared" si="38"/>
        <v>30000</v>
      </c>
      <c r="J91" s="42">
        <f t="shared" si="38"/>
        <v>30000</v>
      </c>
      <c r="K91" s="42">
        <f t="shared" si="38"/>
        <v>30000</v>
      </c>
      <c r="L91" s="42">
        <f t="shared" si="38"/>
        <v>30000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4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66" t="s">
        <v>9</v>
      </c>
      <c r="B93" s="103">
        <f>B81+B91</f>
        <v>701330.44</v>
      </c>
      <c r="C93" s="104">
        <f>C81+C91+15000</f>
        <v>2670544.816</v>
      </c>
      <c r="D93" s="104">
        <f t="shared" ref="D93:L93" si="39">D81+D91</f>
        <v>4574569.276</v>
      </c>
      <c r="E93" s="104">
        <f t="shared" si="39"/>
        <v>5648732.492</v>
      </c>
      <c r="F93" s="104">
        <f t="shared" si="39"/>
        <v>7294477.058</v>
      </c>
      <c r="G93" s="104">
        <f t="shared" si="39"/>
        <v>9106024.751</v>
      </c>
      <c r="H93" s="104">
        <f t="shared" si="39"/>
        <v>10985328.23</v>
      </c>
      <c r="I93" s="104">
        <f t="shared" si="39"/>
        <v>12934391.96</v>
      </c>
      <c r="J93" s="104">
        <f t="shared" si="39"/>
        <v>13185478.18</v>
      </c>
      <c r="K93" s="104">
        <f t="shared" si="39"/>
        <v>13441586.13</v>
      </c>
      <c r="L93" s="104">
        <f t="shared" si="39"/>
        <v>13702816.23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1">
    <mergeCell ref="C5:L5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3864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0.88"/>
    <col customWidth="1" min="2" max="12" width="13.63"/>
    <col customWidth="1" min="13" max="14" width="7.63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5.75" customHeight="1">
      <c r="A2" s="11" t="s">
        <v>76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3"/>
      <c r="B5" s="14" t="s">
        <v>26</v>
      </c>
      <c r="C5" s="15" t="s">
        <v>27</v>
      </c>
      <c r="D5" s="16"/>
      <c r="E5" s="16"/>
      <c r="F5" s="16"/>
      <c r="G5" s="16"/>
      <c r="H5" s="16"/>
      <c r="I5" s="16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7" t="s">
        <v>28</v>
      </c>
      <c r="B6" s="18">
        <v>2023.0</v>
      </c>
      <c r="C6" s="19">
        <f t="shared" ref="C6:L6" si="1">B6+1</f>
        <v>2024</v>
      </c>
      <c r="D6" s="19">
        <f t="shared" si="1"/>
        <v>2025</v>
      </c>
      <c r="E6" s="19">
        <f t="shared" si="1"/>
        <v>2026</v>
      </c>
      <c r="F6" s="19">
        <f t="shared" si="1"/>
        <v>2027</v>
      </c>
      <c r="G6" s="19">
        <f t="shared" si="1"/>
        <v>2028</v>
      </c>
      <c r="H6" s="19">
        <f t="shared" si="1"/>
        <v>2029</v>
      </c>
      <c r="I6" s="19">
        <f t="shared" si="1"/>
        <v>2030</v>
      </c>
      <c r="J6" s="19">
        <f t="shared" si="1"/>
        <v>2031</v>
      </c>
      <c r="K6" s="19">
        <f t="shared" si="1"/>
        <v>2032</v>
      </c>
      <c r="L6" s="19">
        <f t="shared" si="1"/>
        <v>2033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20" t="s">
        <v>29</v>
      </c>
      <c r="B7" s="21">
        <v>0.0</v>
      </c>
      <c r="C7" s="22">
        <v>1.0</v>
      </c>
      <c r="D7" s="22">
        <f t="shared" ref="D7:L7" si="2">C7+1</f>
        <v>2</v>
      </c>
      <c r="E7" s="22">
        <f t="shared" si="2"/>
        <v>3</v>
      </c>
      <c r="F7" s="22">
        <f t="shared" si="2"/>
        <v>4</v>
      </c>
      <c r="G7" s="22">
        <f t="shared" si="2"/>
        <v>5</v>
      </c>
      <c r="H7" s="22">
        <f t="shared" si="2"/>
        <v>6</v>
      </c>
      <c r="I7" s="22">
        <f t="shared" si="2"/>
        <v>7</v>
      </c>
      <c r="J7" s="22">
        <f t="shared" si="2"/>
        <v>8</v>
      </c>
      <c r="K7" s="22">
        <f t="shared" si="2"/>
        <v>9</v>
      </c>
      <c r="L7" s="22">
        <f t="shared" si="2"/>
        <v>10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0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9" t="s">
        <v>30</v>
      </c>
      <c r="B9" s="25">
        <f>'Enrollment &amp; Revenue'!B17</f>
        <v>0</v>
      </c>
      <c r="C9" s="26">
        <f>'Enrollment &amp; Revenue'!C17</f>
        <v>110</v>
      </c>
      <c r="D9" s="26">
        <f>'Enrollment &amp; Revenue'!D17</f>
        <v>228</v>
      </c>
      <c r="E9" s="26">
        <f>'Enrollment &amp; Revenue'!E17</f>
        <v>309</v>
      </c>
      <c r="F9" s="26">
        <f>'Enrollment &amp; Revenue'!F17</f>
        <v>399</v>
      </c>
      <c r="G9" s="26">
        <f>'Enrollment &amp; Revenue'!G17</f>
        <v>489</v>
      </c>
      <c r="H9" s="26">
        <f>'Enrollment &amp; Revenue'!H17</f>
        <v>579</v>
      </c>
      <c r="I9" s="26">
        <f>'Enrollment &amp; Revenue'!I17</f>
        <v>669</v>
      </c>
      <c r="J9" s="26">
        <f>'Enrollment &amp; Revenue'!J17</f>
        <v>669</v>
      </c>
      <c r="K9" s="26">
        <f>'Enrollment &amp; Revenue'!K17</f>
        <v>669</v>
      </c>
      <c r="L9" s="26">
        <f>'Enrollment &amp; Revenue'!L17</f>
        <v>669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9" t="s">
        <v>9</v>
      </c>
      <c r="B10" s="27">
        <f>'Enrollment &amp; Revenue'!B21</f>
        <v>701330.44</v>
      </c>
      <c r="C10" s="28">
        <f>'Enrollment &amp; Revenue'!C21</f>
        <v>2670544.816</v>
      </c>
      <c r="D10" s="28">
        <f>'Enrollment &amp; Revenue'!D21</f>
        <v>4574569.276</v>
      </c>
      <c r="E10" s="28">
        <f>'Enrollment &amp; Revenue'!E21</f>
        <v>5648732.492</v>
      </c>
      <c r="F10" s="28">
        <f>'Enrollment &amp; Revenue'!F21</f>
        <v>7294477.058</v>
      </c>
      <c r="G10" s="28">
        <f>'Enrollment &amp; Revenue'!G21</f>
        <v>9106024.751</v>
      </c>
      <c r="H10" s="28">
        <f>'Enrollment &amp; Revenue'!H21</f>
        <v>10985328.23</v>
      </c>
      <c r="I10" s="28">
        <f>'Enrollment &amp; Revenue'!I21</f>
        <v>12934391.96</v>
      </c>
      <c r="J10" s="28">
        <f>'Enrollment &amp; Revenue'!J21</f>
        <v>13185478.18</v>
      </c>
      <c r="K10" s="28">
        <f>'Enrollment &amp; Revenue'!K21</f>
        <v>13441586.13</v>
      </c>
      <c r="L10" s="28">
        <f>'Enrollment &amp; Revenue'!L21</f>
        <v>13702816.23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9" t="s">
        <v>31</v>
      </c>
      <c r="B11" s="23"/>
      <c r="C11" s="30">
        <f t="shared" ref="C11:L11" si="3">C10/C9</f>
        <v>24277.68015</v>
      </c>
      <c r="D11" s="30">
        <f t="shared" si="3"/>
        <v>20063.90033</v>
      </c>
      <c r="E11" s="30">
        <f t="shared" si="3"/>
        <v>18280.68767</v>
      </c>
      <c r="F11" s="30">
        <f t="shared" si="3"/>
        <v>18281.89739</v>
      </c>
      <c r="G11" s="30">
        <f t="shared" si="3"/>
        <v>18621.72751</v>
      </c>
      <c r="H11" s="30">
        <f t="shared" si="3"/>
        <v>18972.93305</v>
      </c>
      <c r="I11" s="30">
        <f t="shared" si="3"/>
        <v>19333.91922</v>
      </c>
      <c r="J11" s="30">
        <f t="shared" si="3"/>
        <v>19709.23495</v>
      </c>
      <c r="K11" s="30">
        <f t="shared" si="3"/>
        <v>20092.05699</v>
      </c>
      <c r="L11" s="30">
        <f t="shared" si="3"/>
        <v>20482.53548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10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31" t="s">
        <v>77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105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10" t="s">
        <v>78</v>
      </c>
      <c r="B15" s="106">
        <f t="shared" ref="B15:L15" si="4">+B37</f>
        <v>3</v>
      </c>
      <c r="C15" s="107">
        <f t="shared" si="4"/>
        <v>5</v>
      </c>
      <c r="D15" s="107">
        <f t="shared" si="4"/>
        <v>8.5</v>
      </c>
      <c r="E15" s="107">
        <f t="shared" si="4"/>
        <v>11</v>
      </c>
      <c r="F15" s="107">
        <f t="shared" si="4"/>
        <v>16.5</v>
      </c>
      <c r="G15" s="107">
        <f t="shared" si="4"/>
        <v>19</v>
      </c>
      <c r="H15" s="107">
        <f t="shared" si="4"/>
        <v>21</v>
      </c>
      <c r="I15" s="107">
        <f t="shared" si="4"/>
        <v>21</v>
      </c>
      <c r="J15" s="107">
        <f t="shared" si="4"/>
        <v>23</v>
      </c>
      <c r="K15" s="107">
        <f t="shared" si="4"/>
        <v>23</v>
      </c>
      <c r="L15" s="107">
        <f t="shared" si="4"/>
        <v>23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10" t="s">
        <v>79</v>
      </c>
      <c r="B16" s="106">
        <f t="shared" ref="B16:L16" si="5">+B55</f>
        <v>0</v>
      </c>
      <c r="C16" s="107">
        <f t="shared" si="5"/>
        <v>11</v>
      </c>
      <c r="D16" s="107">
        <f t="shared" si="5"/>
        <v>18</v>
      </c>
      <c r="E16" s="107">
        <f t="shared" si="5"/>
        <v>23</v>
      </c>
      <c r="F16" s="107">
        <f t="shared" si="5"/>
        <v>33</v>
      </c>
      <c r="G16" s="107">
        <f t="shared" si="5"/>
        <v>42</v>
      </c>
      <c r="H16" s="107">
        <f t="shared" si="5"/>
        <v>48</v>
      </c>
      <c r="I16" s="107">
        <f t="shared" si="5"/>
        <v>54</v>
      </c>
      <c r="J16" s="107">
        <f t="shared" si="5"/>
        <v>54</v>
      </c>
      <c r="K16" s="107">
        <f t="shared" si="5"/>
        <v>54</v>
      </c>
      <c r="L16" s="107">
        <f t="shared" si="5"/>
        <v>54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36" t="s">
        <v>80</v>
      </c>
      <c r="B17" s="108">
        <f t="shared" ref="B17:L17" si="6">+B60</f>
        <v>3</v>
      </c>
      <c r="C17" s="109">
        <f t="shared" si="6"/>
        <v>16</v>
      </c>
      <c r="D17" s="109">
        <f t="shared" si="6"/>
        <v>26.5</v>
      </c>
      <c r="E17" s="109">
        <f t="shared" si="6"/>
        <v>34</v>
      </c>
      <c r="F17" s="109">
        <f t="shared" si="6"/>
        <v>49.5</v>
      </c>
      <c r="G17" s="109">
        <f t="shared" si="6"/>
        <v>61</v>
      </c>
      <c r="H17" s="109">
        <f t="shared" si="6"/>
        <v>69</v>
      </c>
      <c r="I17" s="109">
        <f t="shared" si="6"/>
        <v>75</v>
      </c>
      <c r="J17" s="109">
        <f t="shared" si="6"/>
        <v>77</v>
      </c>
      <c r="K17" s="109">
        <f t="shared" si="6"/>
        <v>77</v>
      </c>
      <c r="L17" s="109">
        <f t="shared" si="6"/>
        <v>77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10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9" t="s">
        <v>81</v>
      </c>
      <c r="B19" s="110">
        <f t="shared" ref="B19:L19" si="7">+B124</f>
        <v>292963.76</v>
      </c>
      <c r="C19" s="111">
        <f t="shared" si="7"/>
        <v>1390724.702</v>
      </c>
      <c r="D19" s="111">
        <f t="shared" si="7"/>
        <v>2404218.184</v>
      </c>
      <c r="E19" s="111">
        <f t="shared" si="7"/>
        <v>3176178.938</v>
      </c>
      <c r="F19" s="111">
        <f t="shared" si="7"/>
        <v>4670280.611</v>
      </c>
      <c r="G19" s="111">
        <f t="shared" si="7"/>
        <v>5895881.447</v>
      </c>
      <c r="H19" s="111">
        <f t="shared" si="7"/>
        <v>6722448.264</v>
      </c>
      <c r="I19" s="111">
        <f t="shared" si="7"/>
        <v>7460173.05</v>
      </c>
      <c r="J19" s="111">
        <f t="shared" si="7"/>
        <v>7730006.125</v>
      </c>
      <c r="K19" s="111">
        <f t="shared" si="7"/>
        <v>7883526.247</v>
      </c>
      <c r="L19" s="111">
        <f t="shared" si="7"/>
        <v>8040116.772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29" t="s">
        <v>82</v>
      </c>
      <c r="B20" s="112"/>
      <c r="C20" s="30">
        <f t="shared" ref="C20:L20" si="8">C19/C9</f>
        <v>12642.95184</v>
      </c>
      <c r="D20" s="30">
        <f t="shared" si="8"/>
        <v>10544.8166</v>
      </c>
      <c r="E20" s="30">
        <f t="shared" si="8"/>
        <v>10278.89624</v>
      </c>
      <c r="F20" s="30">
        <f t="shared" si="8"/>
        <v>11704.96394</v>
      </c>
      <c r="G20" s="30">
        <f t="shared" si="8"/>
        <v>12057.01727</v>
      </c>
      <c r="H20" s="30">
        <f t="shared" si="8"/>
        <v>11610.44605</v>
      </c>
      <c r="I20" s="30">
        <f t="shared" si="8"/>
        <v>11151.23027</v>
      </c>
      <c r="J20" s="30">
        <f t="shared" si="8"/>
        <v>11554.5682</v>
      </c>
      <c r="K20" s="30">
        <f t="shared" si="8"/>
        <v>11784.04521</v>
      </c>
      <c r="L20" s="30">
        <f t="shared" si="8"/>
        <v>12018.11177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29" t="s">
        <v>83</v>
      </c>
      <c r="B21" s="113">
        <f t="shared" ref="B21:L21" si="9">B19/B10</f>
        <v>0.4177257157</v>
      </c>
      <c r="C21" s="114">
        <f t="shared" si="9"/>
        <v>0.5207644124</v>
      </c>
      <c r="D21" s="114">
        <f t="shared" si="9"/>
        <v>0.5255616517</v>
      </c>
      <c r="E21" s="114">
        <f t="shared" si="9"/>
        <v>0.5622817053</v>
      </c>
      <c r="F21" s="114">
        <f t="shared" si="9"/>
        <v>0.6402488586</v>
      </c>
      <c r="G21" s="114">
        <f t="shared" si="9"/>
        <v>0.6474703956</v>
      </c>
      <c r="H21" s="114">
        <f t="shared" si="9"/>
        <v>0.6119478746</v>
      </c>
      <c r="I21" s="114">
        <f t="shared" si="9"/>
        <v>0.5767702938</v>
      </c>
      <c r="J21" s="114">
        <f t="shared" si="9"/>
        <v>0.586251482</v>
      </c>
      <c r="K21" s="114">
        <f t="shared" si="9"/>
        <v>0.586502677</v>
      </c>
      <c r="L21" s="114">
        <f t="shared" si="9"/>
        <v>0.5867492226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115" t="s">
        <v>84</v>
      </c>
      <c r="B22" s="116">
        <f t="shared" ref="B22:L22" si="10">+B125</f>
        <v>97654.58667</v>
      </c>
      <c r="C22" s="117">
        <f t="shared" si="10"/>
        <v>86920.29387</v>
      </c>
      <c r="D22" s="117">
        <f t="shared" si="10"/>
        <v>90725.21451</v>
      </c>
      <c r="E22" s="117">
        <f t="shared" si="10"/>
        <v>93417.0276</v>
      </c>
      <c r="F22" s="117">
        <f t="shared" si="10"/>
        <v>94349.10325</v>
      </c>
      <c r="G22" s="117">
        <f t="shared" si="10"/>
        <v>96653.79422</v>
      </c>
      <c r="H22" s="117">
        <f t="shared" si="10"/>
        <v>97426.78643</v>
      </c>
      <c r="I22" s="117">
        <f t="shared" si="10"/>
        <v>99468.974</v>
      </c>
      <c r="J22" s="117">
        <f t="shared" si="10"/>
        <v>100389.6899</v>
      </c>
      <c r="K22" s="117">
        <f t="shared" si="10"/>
        <v>102383.4578</v>
      </c>
      <c r="L22" s="117">
        <f t="shared" si="10"/>
        <v>104417.1009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29"/>
      <c r="B23" s="11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31" t="s">
        <v>85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0"/>
      <c r="B25" s="4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48" t="s">
        <v>86</v>
      </c>
      <c r="B26" s="4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10" t="s">
        <v>87</v>
      </c>
      <c r="B27" s="118">
        <v>1.0</v>
      </c>
      <c r="C27" s="119">
        <v>1.0</v>
      </c>
      <c r="D27" s="119">
        <v>1.5</v>
      </c>
      <c r="E27" s="119">
        <v>2.0</v>
      </c>
      <c r="F27" s="119">
        <v>3.0</v>
      </c>
      <c r="G27" s="119">
        <v>3.0</v>
      </c>
      <c r="H27" s="119">
        <v>3.0</v>
      </c>
      <c r="I27" s="119">
        <v>3.0</v>
      </c>
      <c r="J27" s="119">
        <v>3.0</v>
      </c>
      <c r="K27" s="119">
        <v>3.0</v>
      </c>
      <c r="L27" s="119">
        <v>3.0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120" t="s">
        <v>88</v>
      </c>
      <c r="B28" s="121">
        <v>1.0</v>
      </c>
      <c r="C28" s="122">
        <v>1.0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0" t="s">
        <v>89</v>
      </c>
      <c r="B29" s="118">
        <v>0.0</v>
      </c>
      <c r="C29" s="119">
        <v>0.0</v>
      </c>
      <c r="D29" s="119">
        <v>0.0</v>
      </c>
      <c r="E29" s="119">
        <v>0.0</v>
      </c>
      <c r="F29" s="119">
        <v>1.0</v>
      </c>
      <c r="G29" s="119">
        <v>1.0</v>
      </c>
      <c r="H29" s="119">
        <v>1.0</v>
      </c>
      <c r="I29" s="119">
        <v>1.0</v>
      </c>
      <c r="J29" s="119">
        <v>1.0</v>
      </c>
      <c r="K29" s="119">
        <v>1.0</v>
      </c>
      <c r="L29" s="119">
        <v>1.0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10" t="s">
        <v>90</v>
      </c>
      <c r="B30" s="118">
        <v>0.0</v>
      </c>
      <c r="C30" s="119">
        <v>0.0</v>
      </c>
      <c r="D30" s="119">
        <v>1.0</v>
      </c>
      <c r="E30" s="119">
        <v>2.0</v>
      </c>
      <c r="F30" s="119">
        <v>2.0</v>
      </c>
      <c r="G30" s="119">
        <v>3.0</v>
      </c>
      <c r="H30" s="119">
        <v>3.0</v>
      </c>
      <c r="I30" s="119">
        <v>3.0</v>
      </c>
      <c r="J30" s="119">
        <v>3.0</v>
      </c>
      <c r="K30" s="119">
        <v>3.0</v>
      </c>
      <c r="L30" s="119">
        <v>3.0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0" t="s">
        <v>91</v>
      </c>
      <c r="B31" s="121">
        <v>1.0</v>
      </c>
      <c r="C31" s="122">
        <v>1.0</v>
      </c>
      <c r="D31" s="119">
        <v>2.0</v>
      </c>
      <c r="E31" s="119">
        <v>3.0</v>
      </c>
      <c r="F31" s="119">
        <v>3.0</v>
      </c>
      <c r="G31" s="119">
        <v>3.0</v>
      </c>
      <c r="H31" s="119">
        <v>3.0</v>
      </c>
      <c r="I31" s="119">
        <v>3.0</v>
      </c>
      <c r="J31" s="119">
        <v>3.0</v>
      </c>
      <c r="K31" s="119">
        <v>3.0</v>
      </c>
      <c r="L31" s="119">
        <v>3.0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 t="s">
        <v>92</v>
      </c>
      <c r="B32" s="118">
        <v>0.0</v>
      </c>
      <c r="C32" s="119">
        <v>0.0</v>
      </c>
      <c r="D32" s="119">
        <v>0.0</v>
      </c>
      <c r="E32" s="119">
        <v>0.0</v>
      </c>
      <c r="F32" s="119">
        <v>0.0</v>
      </c>
      <c r="G32" s="119">
        <v>1.0</v>
      </c>
      <c r="H32" s="119">
        <v>1.0</v>
      </c>
      <c r="I32" s="119">
        <v>1.0</v>
      </c>
      <c r="J32" s="119">
        <v>1.0</v>
      </c>
      <c r="K32" s="119">
        <v>1.0</v>
      </c>
      <c r="L32" s="119">
        <v>1.0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0" t="s">
        <v>93</v>
      </c>
      <c r="B33" s="118">
        <v>0.0</v>
      </c>
      <c r="C33" s="119">
        <v>0.0</v>
      </c>
      <c r="D33" s="119">
        <v>1.0</v>
      </c>
      <c r="E33" s="119">
        <v>1.0</v>
      </c>
      <c r="F33" s="119">
        <v>2.0</v>
      </c>
      <c r="G33" s="119">
        <v>2.0</v>
      </c>
      <c r="H33" s="119">
        <v>3.0</v>
      </c>
      <c r="I33" s="119">
        <v>3.0</v>
      </c>
      <c r="J33" s="119">
        <v>4.0</v>
      </c>
      <c r="K33" s="119">
        <v>4.0</v>
      </c>
      <c r="L33" s="119">
        <v>4.0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10" t="s">
        <v>94</v>
      </c>
      <c r="B34" s="118">
        <v>0.0</v>
      </c>
      <c r="C34" s="119">
        <v>1.0</v>
      </c>
      <c r="D34" s="119">
        <v>1.0</v>
      </c>
      <c r="E34" s="119">
        <v>1.0</v>
      </c>
      <c r="F34" s="119">
        <v>2.0</v>
      </c>
      <c r="G34" s="119">
        <v>2.0</v>
      </c>
      <c r="H34" s="119">
        <v>3.0</v>
      </c>
      <c r="I34" s="119">
        <v>3.0</v>
      </c>
      <c r="J34" s="119">
        <v>4.0</v>
      </c>
      <c r="K34" s="119">
        <v>4.0</v>
      </c>
      <c r="L34" s="119">
        <v>4.0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0" t="s">
        <v>95</v>
      </c>
      <c r="B35" s="118">
        <v>0.0</v>
      </c>
      <c r="C35" s="119">
        <v>1.0</v>
      </c>
      <c r="D35" s="119">
        <v>1.0</v>
      </c>
      <c r="E35" s="119">
        <v>1.0</v>
      </c>
      <c r="F35" s="119">
        <v>2.0</v>
      </c>
      <c r="G35" s="119">
        <v>2.0</v>
      </c>
      <c r="H35" s="119">
        <v>2.0</v>
      </c>
      <c r="I35" s="119">
        <v>2.0</v>
      </c>
      <c r="J35" s="119">
        <v>2.0</v>
      </c>
      <c r="K35" s="119">
        <v>2.0</v>
      </c>
      <c r="L35" s="119">
        <v>2.0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10" t="s">
        <v>96</v>
      </c>
      <c r="B36" s="118">
        <v>0.0</v>
      </c>
      <c r="C36" s="119">
        <v>0.0</v>
      </c>
      <c r="D36" s="119">
        <v>1.0</v>
      </c>
      <c r="E36" s="119">
        <v>1.0</v>
      </c>
      <c r="F36" s="119">
        <v>1.5</v>
      </c>
      <c r="G36" s="119">
        <v>2.0</v>
      </c>
      <c r="H36" s="119">
        <v>2.0</v>
      </c>
      <c r="I36" s="119">
        <v>2.0</v>
      </c>
      <c r="J36" s="119">
        <v>2.0</v>
      </c>
      <c r="K36" s="119">
        <v>2.0</v>
      </c>
      <c r="L36" s="119">
        <v>2.0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36" t="s">
        <v>97</v>
      </c>
      <c r="B37" s="108">
        <f t="shared" ref="B37:L37" si="11">SUM(B27:B36)</f>
        <v>3</v>
      </c>
      <c r="C37" s="109">
        <f t="shared" si="11"/>
        <v>5</v>
      </c>
      <c r="D37" s="109">
        <f t="shared" si="11"/>
        <v>8.5</v>
      </c>
      <c r="E37" s="109">
        <f t="shared" si="11"/>
        <v>11</v>
      </c>
      <c r="F37" s="109">
        <f t="shared" si="11"/>
        <v>16.5</v>
      </c>
      <c r="G37" s="109">
        <f t="shared" si="11"/>
        <v>19</v>
      </c>
      <c r="H37" s="109">
        <f t="shared" si="11"/>
        <v>21</v>
      </c>
      <c r="I37" s="109">
        <f t="shared" si="11"/>
        <v>21</v>
      </c>
      <c r="J37" s="109">
        <f t="shared" si="11"/>
        <v>23</v>
      </c>
      <c r="K37" s="109">
        <f t="shared" si="11"/>
        <v>23</v>
      </c>
      <c r="L37" s="109">
        <f t="shared" si="11"/>
        <v>23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0"/>
      <c r="B38" s="4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48" t="s">
        <v>98</v>
      </c>
      <c r="B39" s="4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10" t="s">
        <v>99</v>
      </c>
      <c r="B40" s="123">
        <v>0.0</v>
      </c>
      <c r="C40" s="124">
        <v>2.0</v>
      </c>
      <c r="D40" s="124">
        <v>4.0</v>
      </c>
      <c r="E40" s="124">
        <v>4.0</v>
      </c>
      <c r="F40" s="124">
        <v>9.0</v>
      </c>
      <c r="G40" s="124">
        <v>13.0</v>
      </c>
      <c r="H40" s="119">
        <f t="shared" ref="H40:I40" si="12">+G40+1</f>
        <v>14</v>
      </c>
      <c r="I40" s="119">
        <f t="shared" si="12"/>
        <v>15</v>
      </c>
      <c r="J40" s="119">
        <f t="shared" ref="J40:L40" si="13">I40</f>
        <v>15</v>
      </c>
      <c r="K40" s="119">
        <f t="shared" si="13"/>
        <v>15</v>
      </c>
      <c r="L40" s="119">
        <f t="shared" si="13"/>
        <v>15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51" t="s">
        <v>100</v>
      </c>
      <c r="B41" s="125">
        <v>0.0</v>
      </c>
      <c r="C41" s="126">
        <v>3.0</v>
      </c>
      <c r="D41" s="126">
        <f t="shared" ref="D41:I41" si="14">+C41+2</f>
        <v>5</v>
      </c>
      <c r="E41" s="126">
        <f t="shared" si="14"/>
        <v>7</v>
      </c>
      <c r="F41" s="126">
        <f t="shared" si="14"/>
        <v>9</v>
      </c>
      <c r="G41" s="126">
        <f t="shared" si="14"/>
        <v>11</v>
      </c>
      <c r="H41" s="127">
        <f t="shared" si="14"/>
        <v>13</v>
      </c>
      <c r="I41" s="127">
        <f t="shared" si="14"/>
        <v>15</v>
      </c>
      <c r="J41" s="127">
        <f t="shared" ref="J41:L41" si="15">I41</f>
        <v>15</v>
      </c>
      <c r="K41" s="127">
        <f t="shared" si="15"/>
        <v>15</v>
      </c>
      <c r="L41" s="127">
        <f t="shared" si="15"/>
        <v>15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hidden="1" customHeight="1">
      <c r="A42" s="10" t="s">
        <v>38</v>
      </c>
      <c r="B42" s="106">
        <f>ROUNDUP('Enrollment &amp; Revenue'!B27*B$56,0)</f>
        <v>0</v>
      </c>
      <c r="C42" s="107">
        <f>ROUNDUP('Enrollment &amp; Revenue'!C27*C$56,0)</f>
        <v>0</v>
      </c>
      <c r="D42" s="107">
        <f>ROUNDUP('Enrollment &amp; Revenue'!D27*D$56,0)</f>
        <v>0</v>
      </c>
      <c r="E42" s="107">
        <f>ROUNDUP('Enrollment &amp; Revenue'!E27*E$56,0)</f>
        <v>0</v>
      </c>
      <c r="F42" s="107">
        <f>ROUNDUP('Enrollment &amp; Revenue'!F27*F$56,0)</f>
        <v>0</v>
      </c>
      <c r="G42" s="107">
        <f>ROUNDUP('Enrollment &amp; Revenue'!G27*G$56,0)</f>
        <v>0</v>
      </c>
      <c r="H42" s="107">
        <f>ROUNDUP('Enrollment &amp; Revenue'!H27*H$56,0)</f>
        <v>0</v>
      </c>
      <c r="I42" s="107">
        <f>ROUNDUP('Enrollment &amp; Revenue'!I27*I$56,0)</f>
        <v>0</v>
      </c>
      <c r="J42" s="107">
        <f>ROUNDUP('Enrollment &amp; Revenue'!J27*J$56,0)</f>
        <v>0</v>
      </c>
      <c r="K42" s="107">
        <f>ROUNDUP('Enrollment &amp; Revenue'!K27*K$56,0)</f>
        <v>0</v>
      </c>
      <c r="L42" s="107">
        <f>ROUNDUP('Enrollment &amp; Revenue'!L27*L$56,0)</f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hidden="1" customHeight="1">
      <c r="A43" s="10" t="s">
        <v>39</v>
      </c>
      <c r="B43" s="106">
        <f>ROUNDUP('Enrollment &amp; Revenue'!B28*B$56,0)</f>
        <v>0</v>
      </c>
      <c r="C43" s="107">
        <f>ROUNDUP('Enrollment &amp; Revenue'!C28*C$56,0)</f>
        <v>0</v>
      </c>
      <c r="D43" s="107">
        <f>ROUNDUP('Enrollment &amp; Revenue'!D28*D$56,0)</f>
        <v>0</v>
      </c>
      <c r="E43" s="107">
        <f>ROUNDUP('Enrollment &amp; Revenue'!E28*E$56,0)</f>
        <v>0</v>
      </c>
      <c r="F43" s="107">
        <f>ROUNDUP('Enrollment &amp; Revenue'!F28*F$56,0)</f>
        <v>0</v>
      </c>
      <c r="G43" s="107">
        <f>ROUNDUP('Enrollment &amp; Revenue'!G28*G$56,0)</f>
        <v>0</v>
      </c>
      <c r="H43" s="107">
        <f>ROUNDUP('Enrollment &amp; Revenue'!H28*H$56,0)</f>
        <v>0</v>
      </c>
      <c r="I43" s="107">
        <f>ROUNDUP('Enrollment &amp; Revenue'!I28*I$56,0)</f>
        <v>0</v>
      </c>
      <c r="J43" s="107">
        <f>ROUNDUP('Enrollment &amp; Revenue'!J28*J$56,0)</f>
        <v>0</v>
      </c>
      <c r="K43" s="107">
        <f>ROUNDUP('Enrollment &amp; Revenue'!K28*K$56,0)</f>
        <v>0</v>
      </c>
      <c r="L43" s="107">
        <f>ROUNDUP('Enrollment &amp; Revenue'!L28*L$56,0)</f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hidden="1" customHeight="1">
      <c r="A44" s="10" t="s">
        <v>40</v>
      </c>
      <c r="B44" s="106">
        <f>ROUNDUP('Enrollment &amp; Revenue'!B29*B$56,0)</f>
        <v>0</v>
      </c>
      <c r="C44" s="107">
        <f>ROUNDUP('Enrollment &amp; Revenue'!C29*C$56,0)</f>
        <v>0</v>
      </c>
      <c r="D44" s="107">
        <f>ROUNDUP('Enrollment &amp; Revenue'!D29*D$56,0)</f>
        <v>0</v>
      </c>
      <c r="E44" s="107">
        <f>ROUNDUP('Enrollment &amp; Revenue'!E29*E$56,0)</f>
        <v>0</v>
      </c>
      <c r="F44" s="107">
        <f>ROUNDUP('Enrollment &amp; Revenue'!F29*F$56,0)</f>
        <v>0</v>
      </c>
      <c r="G44" s="107">
        <f>ROUNDUP('Enrollment &amp; Revenue'!G29*G$56,0)</f>
        <v>0</v>
      </c>
      <c r="H44" s="107">
        <f>ROUNDUP('Enrollment &amp; Revenue'!H29*H$56,0)</f>
        <v>0</v>
      </c>
      <c r="I44" s="107">
        <f>ROUNDUP('Enrollment &amp; Revenue'!I29*I$56,0)</f>
        <v>0</v>
      </c>
      <c r="J44" s="107">
        <f>ROUNDUP('Enrollment &amp; Revenue'!J29*J$56,0)</f>
        <v>0</v>
      </c>
      <c r="K44" s="107">
        <f>ROUNDUP('Enrollment &amp; Revenue'!K29*K$56,0)</f>
        <v>0</v>
      </c>
      <c r="L44" s="107">
        <f>ROUNDUP('Enrollment &amp; Revenue'!L29*L$56,0)</f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hidden="1" customHeight="1">
      <c r="A45" s="10" t="s">
        <v>41</v>
      </c>
      <c r="B45" s="106">
        <f>ROUNDUP('Enrollment &amp; Revenue'!B30*B$56,0)</f>
        <v>0</v>
      </c>
      <c r="C45" s="107">
        <f>ROUNDUP('Enrollment &amp; Revenue'!C30*C$56,0)</f>
        <v>0</v>
      </c>
      <c r="D45" s="107">
        <f>ROUNDUP('Enrollment &amp; Revenue'!D30*D$56,0)</f>
        <v>0</v>
      </c>
      <c r="E45" s="107">
        <f>ROUNDUP('Enrollment &amp; Revenue'!E30*E$56,0)</f>
        <v>0</v>
      </c>
      <c r="F45" s="107">
        <f>ROUNDUP('Enrollment &amp; Revenue'!F30*F$56,0)</f>
        <v>0</v>
      </c>
      <c r="G45" s="107">
        <f>ROUNDUP('Enrollment &amp; Revenue'!G30*G$56,0)</f>
        <v>0</v>
      </c>
      <c r="H45" s="107">
        <f>ROUNDUP('Enrollment &amp; Revenue'!H30*H$56,0)</f>
        <v>0</v>
      </c>
      <c r="I45" s="107">
        <f>ROUNDUP('Enrollment &amp; Revenue'!I30*I$56,0)</f>
        <v>0</v>
      </c>
      <c r="J45" s="107">
        <f>ROUNDUP('Enrollment &amp; Revenue'!J30*J$56,0)</f>
        <v>0</v>
      </c>
      <c r="K45" s="107">
        <f>ROUNDUP('Enrollment &amp; Revenue'!K30*K$56,0)</f>
        <v>0</v>
      </c>
      <c r="L45" s="107">
        <f>ROUNDUP('Enrollment &amp; Revenue'!L30*L$56,0)</f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hidden="1" customHeight="1">
      <c r="A46" s="10" t="s">
        <v>42</v>
      </c>
      <c r="B46" s="106">
        <f>ROUNDUP('Enrollment &amp; Revenue'!B31*B$56,0)</f>
        <v>0</v>
      </c>
      <c r="C46" s="107">
        <f>ROUNDUP('Enrollment &amp; Revenue'!C31*C$56,0)</f>
        <v>0</v>
      </c>
      <c r="D46" s="107">
        <f>ROUNDUP('Enrollment &amp; Revenue'!D31*D$56,0)</f>
        <v>0</v>
      </c>
      <c r="E46" s="107">
        <f>ROUNDUP('Enrollment &amp; Revenue'!E31*E$56,0)</f>
        <v>0</v>
      </c>
      <c r="F46" s="107">
        <f>ROUNDUP('Enrollment &amp; Revenue'!F31*F$56,0)</f>
        <v>0</v>
      </c>
      <c r="G46" s="107">
        <f>ROUNDUP('Enrollment &amp; Revenue'!G31*G$56,0)</f>
        <v>0</v>
      </c>
      <c r="H46" s="107">
        <f>ROUNDUP('Enrollment &amp; Revenue'!H31*H$56,0)</f>
        <v>0</v>
      </c>
      <c r="I46" s="107">
        <f>ROUNDUP('Enrollment &amp; Revenue'!I31*I$56,0)</f>
        <v>0</v>
      </c>
      <c r="J46" s="107">
        <f>ROUNDUP('Enrollment &amp; Revenue'!J31*J$56,0)</f>
        <v>0</v>
      </c>
      <c r="K46" s="107">
        <f>ROUNDUP('Enrollment &amp; Revenue'!K31*K$56,0)</f>
        <v>0</v>
      </c>
      <c r="L46" s="107">
        <f>ROUNDUP('Enrollment &amp; Revenue'!L31*L$56,0)</f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55" t="s">
        <v>43</v>
      </c>
      <c r="B47" s="128">
        <f>ROUNDUP('Enrollment &amp; Revenue'!B32*B$56,0)</f>
        <v>0</v>
      </c>
      <c r="C47" s="129">
        <f>ROUNDUP('Enrollment &amp; Revenue'!C32*C$56,0)</f>
        <v>3</v>
      </c>
      <c r="D47" s="129">
        <f>ROUNDUP('Enrollment &amp; Revenue'!D32*D$56,0)</f>
        <v>3</v>
      </c>
      <c r="E47" s="129">
        <f>ROUNDUP('Enrollment &amp; Revenue'!E32*E$56,0)</f>
        <v>3</v>
      </c>
      <c r="F47" s="129">
        <f>ROUNDUP('Enrollment &amp; Revenue'!F32*F$56,0)</f>
        <v>3</v>
      </c>
      <c r="G47" s="129">
        <f>ROUNDUP('Enrollment &amp; Revenue'!G32*G$57,0)</f>
        <v>3</v>
      </c>
      <c r="H47" s="129">
        <f>ROUNDUP('Enrollment &amp; Revenue'!H32*H$57,0)</f>
        <v>3</v>
      </c>
      <c r="I47" s="129">
        <f>ROUNDUP('Enrollment &amp; Revenue'!I32*I$57,0)</f>
        <v>3</v>
      </c>
      <c r="J47" s="129">
        <f>ROUNDUP('Enrollment &amp; Revenue'!J32*J$57,0)</f>
        <v>3</v>
      </c>
      <c r="K47" s="129">
        <f>ROUNDUP('Enrollment &amp; Revenue'!K32*K$57,0)</f>
        <v>3</v>
      </c>
      <c r="L47" s="129">
        <f>ROUNDUP('Enrollment &amp; Revenue'!L32*L$57,0)</f>
        <v>3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0" t="s">
        <v>44</v>
      </c>
      <c r="B48" s="106">
        <f>ROUNDUP('Enrollment &amp; Revenue'!B33*B$56,0)</f>
        <v>0</v>
      </c>
      <c r="C48" s="107">
        <v>3.0</v>
      </c>
      <c r="D48" s="107">
        <f>ROUNDUP('Enrollment &amp; Revenue'!D33*D$56,0)</f>
        <v>3</v>
      </c>
      <c r="E48" s="107">
        <f>ROUNDUP('Enrollment &amp; Revenue'!E33*E$56,0)</f>
        <v>3</v>
      </c>
      <c r="F48" s="107">
        <f>ROUNDUP('Enrollment &amp; Revenue'!F33*F$56,0)</f>
        <v>3</v>
      </c>
      <c r="G48" s="107">
        <f>ROUNDUP('Enrollment &amp; Revenue'!G33*G$57,0)</f>
        <v>3</v>
      </c>
      <c r="H48" s="107">
        <f>ROUNDUP('Enrollment &amp; Revenue'!H33*H$57,0)</f>
        <v>3</v>
      </c>
      <c r="I48" s="107">
        <f>ROUNDUP('Enrollment &amp; Revenue'!I33*I$57,0)</f>
        <v>3</v>
      </c>
      <c r="J48" s="107">
        <f>ROUNDUP('Enrollment &amp; Revenue'!J33*J$57,0)</f>
        <v>3</v>
      </c>
      <c r="K48" s="107">
        <f>ROUNDUP('Enrollment &amp; Revenue'!K33*K$57,0)</f>
        <v>3</v>
      </c>
      <c r="L48" s="107">
        <f>ROUNDUP('Enrollment &amp; Revenue'!L33*L$57,0)</f>
        <v>3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0" t="s">
        <v>45</v>
      </c>
      <c r="B49" s="106">
        <f>ROUNDUP('Enrollment &amp; Revenue'!B34*B$56,0)</f>
        <v>0</v>
      </c>
      <c r="C49" s="107">
        <f>ROUNDUP('Enrollment &amp; Revenue'!C34*C$56,0)</f>
        <v>0</v>
      </c>
      <c r="D49" s="107">
        <f>ROUNDUP('Enrollment &amp; Revenue'!D34*D$56,0)</f>
        <v>3</v>
      </c>
      <c r="E49" s="107">
        <f>ROUNDUP('Enrollment &amp; Revenue'!E34*E$56,0)</f>
        <v>3</v>
      </c>
      <c r="F49" s="107">
        <f>ROUNDUP('Enrollment &amp; Revenue'!F34*F$56,0)</f>
        <v>3</v>
      </c>
      <c r="G49" s="107">
        <f>ROUNDUP('Enrollment &amp; Revenue'!G34*G$57,0)</f>
        <v>3</v>
      </c>
      <c r="H49" s="107">
        <f>ROUNDUP('Enrollment &amp; Revenue'!H34*H$57,0)</f>
        <v>3</v>
      </c>
      <c r="I49" s="107">
        <f>ROUNDUP('Enrollment &amp; Revenue'!I34*I$57,0)</f>
        <v>3</v>
      </c>
      <c r="J49" s="107">
        <f>ROUNDUP('Enrollment &amp; Revenue'!J34*J$57,0)</f>
        <v>3</v>
      </c>
      <c r="K49" s="107">
        <f>ROUNDUP('Enrollment &amp; Revenue'!K34*K$57,0)</f>
        <v>3</v>
      </c>
      <c r="L49" s="107">
        <f>ROUNDUP('Enrollment &amp; Revenue'!L34*L$57,0)</f>
        <v>3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10" t="s">
        <v>46</v>
      </c>
      <c r="B50" s="106">
        <f>ROUNDUP('Enrollment &amp; Revenue'!B35*B$56,0)</f>
        <v>0</v>
      </c>
      <c r="C50" s="107">
        <f>ROUNDUP('Enrollment &amp; Revenue'!C35*C$56,0)</f>
        <v>0</v>
      </c>
      <c r="D50" s="107">
        <f>ROUNDUP('Enrollment &amp; Revenue'!D35*D$56,0)</f>
        <v>0</v>
      </c>
      <c r="E50" s="107">
        <f>ROUNDUP('Enrollment &amp; Revenue'!E35*E$56,0)</f>
        <v>3</v>
      </c>
      <c r="F50" s="107">
        <f>ROUNDUP('Enrollment &amp; Revenue'!F35*F$56,0)</f>
        <v>3</v>
      </c>
      <c r="G50" s="107">
        <f>ROUNDUP('Enrollment &amp; Revenue'!G35*G$57,0)</f>
        <v>3</v>
      </c>
      <c r="H50" s="107">
        <f>ROUNDUP('Enrollment &amp; Revenue'!H35*H$57,0)</f>
        <v>3</v>
      </c>
      <c r="I50" s="107">
        <f>ROUNDUP('Enrollment &amp; Revenue'!I35*I$57,0)</f>
        <v>3</v>
      </c>
      <c r="J50" s="107">
        <f>ROUNDUP('Enrollment &amp; Revenue'!J35*J$57,0)</f>
        <v>3</v>
      </c>
      <c r="K50" s="107">
        <f>ROUNDUP('Enrollment &amp; Revenue'!K35*K$57,0)</f>
        <v>3</v>
      </c>
      <c r="L50" s="107">
        <f>ROUNDUP('Enrollment &amp; Revenue'!L35*L$57,0)</f>
        <v>3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55" t="s">
        <v>47</v>
      </c>
      <c r="B51" s="128">
        <f>ROUNDUP('Enrollment &amp; Revenue'!B36*B$56,0)</f>
        <v>0</v>
      </c>
      <c r="C51" s="129">
        <f>ROUNDUP('Enrollment &amp; Revenue'!C36*C$56,0)</f>
        <v>0</v>
      </c>
      <c r="D51" s="129">
        <f>ROUNDUP('Enrollment &amp; Revenue'!D36*D$56,0)</f>
        <v>0</v>
      </c>
      <c r="E51" s="129">
        <f>ROUNDUP('Enrollment &amp; Revenue'!E36*E$56,0)</f>
        <v>0</v>
      </c>
      <c r="F51" s="129">
        <f>ROUNDUP('Enrollment &amp; Revenue'!F36*F$56,0)</f>
        <v>3</v>
      </c>
      <c r="G51" s="129">
        <f>ROUNDUP('Enrollment &amp; Revenue'!G36*G$57,0)</f>
        <v>3</v>
      </c>
      <c r="H51" s="129">
        <f>ROUNDUP('Enrollment &amp; Revenue'!H36*H$57,0)</f>
        <v>3</v>
      </c>
      <c r="I51" s="129">
        <f>ROUNDUP('Enrollment &amp; Revenue'!I36*I$57,0)</f>
        <v>3</v>
      </c>
      <c r="J51" s="129">
        <f>ROUNDUP('Enrollment &amp; Revenue'!J36*J$57,0)</f>
        <v>3</v>
      </c>
      <c r="K51" s="129">
        <f>ROUNDUP('Enrollment &amp; Revenue'!K36*K$57,0)</f>
        <v>3</v>
      </c>
      <c r="L51" s="129">
        <f>ROUNDUP('Enrollment &amp; Revenue'!L36*L$57,0)</f>
        <v>3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 t="s">
        <v>48</v>
      </c>
      <c r="B52" s="106">
        <f>ROUNDUP('Enrollment &amp; Revenue'!B37*B$56,0)</f>
        <v>0</v>
      </c>
      <c r="C52" s="107">
        <f>ROUNDUP('Enrollment &amp; Revenue'!C37*C$56,0)</f>
        <v>0</v>
      </c>
      <c r="D52" s="107">
        <f>ROUNDUP('Enrollment &amp; Revenue'!D37*D$56,0)</f>
        <v>0</v>
      </c>
      <c r="E52" s="107">
        <f>ROUNDUP('Enrollment &amp; Revenue'!E37*E$56,0)</f>
        <v>0</v>
      </c>
      <c r="F52" s="107">
        <f>ROUNDUP('Enrollment &amp; Revenue'!F37*F$56,0)</f>
        <v>0</v>
      </c>
      <c r="G52" s="107">
        <f>ROUNDUP('Enrollment &amp; Revenue'!G37*G$57,0)</f>
        <v>3</v>
      </c>
      <c r="H52" s="107">
        <f>ROUNDUP('Enrollment &amp; Revenue'!H37*H$57,0)</f>
        <v>3</v>
      </c>
      <c r="I52" s="107">
        <f>ROUNDUP('Enrollment &amp; Revenue'!I37*I$57,0)</f>
        <v>3</v>
      </c>
      <c r="J52" s="107">
        <f>ROUNDUP('Enrollment &amp; Revenue'!J37*J$57,0)</f>
        <v>3</v>
      </c>
      <c r="K52" s="107">
        <f>ROUNDUP('Enrollment &amp; Revenue'!K37*K$57,0)</f>
        <v>3</v>
      </c>
      <c r="L52" s="107">
        <f>ROUNDUP('Enrollment &amp; Revenue'!L37*L$57,0)</f>
        <v>3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 t="s">
        <v>49</v>
      </c>
      <c r="B53" s="106">
        <f>ROUNDUP('Enrollment &amp; Revenue'!B38*B$56,0)</f>
        <v>0</v>
      </c>
      <c r="C53" s="107">
        <f>ROUNDUP('Enrollment &amp; Revenue'!C38*C$56,0)</f>
        <v>0</v>
      </c>
      <c r="D53" s="107">
        <f>ROUNDUP('Enrollment &amp; Revenue'!D38*D$56,0)</f>
        <v>0</v>
      </c>
      <c r="E53" s="107">
        <f>ROUNDUP('Enrollment &amp; Revenue'!E38*E$56,0)</f>
        <v>0</v>
      </c>
      <c r="F53" s="107">
        <f>ROUNDUP('Enrollment &amp; Revenue'!F38*F$56,0)</f>
        <v>0</v>
      </c>
      <c r="G53" s="107">
        <f>ROUNDUP('Enrollment &amp; Revenue'!G38*G$57,0)</f>
        <v>0</v>
      </c>
      <c r="H53" s="107">
        <f>ROUNDUP('Enrollment &amp; Revenue'!H38*H$57,0)</f>
        <v>3</v>
      </c>
      <c r="I53" s="107">
        <f>ROUNDUP('Enrollment &amp; Revenue'!I38*I$57,0)</f>
        <v>3</v>
      </c>
      <c r="J53" s="107">
        <f>ROUNDUP('Enrollment &amp; Revenue'!J38*J$57,0)</f>
        <v>3</v>
      </c>
      <c r="K53" s="107">
        <f>ROUNDUP('Enrollment &amp; Revenue'!K38*K$57,0)</f>
        <v>3</v>
      </c>
      <c r="L53" s="107">
        <f>ROUNDUP('Enrollment &amp; Revenue'!L38*L$57,0)</f>
        <v>3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0" t="s">
        <v>50</v>
      </c>
      <c r="B54" s="106">
        <f>ROUNDUP('Enrollment &amp; Revenue'!B39*B$56,0)</f>
        <v>0</v>
      </c>
      <c r="C54" s="107">
        <f>ROUNDUP('Enrollment &amp; Revenue'!C39*C$56,0)</f>
        <v>0</v>
      </c>
      <c r="D54" s="107">
        <f>ROUNDUP('Enrollment &amp; Revenue'!D39*D$56,0)</f>
        <v>0</v>
      </c>
      <c r="E54" s="107">
        <f>ROUNDUP('Enrollment &amp; Revenue'!E39*E$56,0)</f>
        <v>0</v>
      </c>
      <c r="F54" s="107">
        <f>ROUNDUP('Enrollment &amp; Revenue'!F39*F$56,0)</f>
        <v>0</v>
      </c>
      <c r="G54" s="107">
        <f>ROUNDUP('Enrollment &amp; Revenue'!G39*G$57,0)</f>
        <v>0</v>
      </c>
      <c r="H54" s="107">
        <f>ROUNDUP('Enrollment &amp; Revenue'!H39*H$57,0)</f>
        <v>0</v>
      </c>
      <c r="I54" s="107">
        <f>ROUNDUP('Enrollment &amp; Revenue'!I39*I$57,0)</f>
        <v>3</v>
      </c>
      <c r="J54" s="107">
        <f>ROUNDUP('Enrollment &amp; Revenue'!J39*J$57,0)</f>
        <v>3</v>
      </c>
      <c r="K54" s="107">
        <f>ROUNDUP('Enrollment &amp; Revenue'!K39*K$57,0)</f>
        <v>3</v>
      </c>
      <c r="L54" s="107">
        <f>ROUNDUP('Enrollment &amp; Revenue'!L39*L$57,0)</f>
        <v>3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36" t="s">
        <v>101</v>
      </c>
      <c r="B55" s="108">
        <f t="shared" ref="B55:L55" si="16">SUM(B40:B54)</f>
        <v>0</v>
      </c>
      <c r="C55" s="109">
        <f t="shared" si="16"/>
        <v>11</v>
      </c>
      <c r="D55" s="109">
        <f t="shared" si="16"/>
        <v>18</v>
      </c>
      <c r="E55" s="109">
        <f t="shared" si="16"/>
        <v>23</v>
      </c>
      <c r="F55" s="109">
        <f t="shared" si="16"/>
        <v>33</v>
      </c>
      <c r="G55" s="109">
        <f t="shared" si="16"/>
        <v>42</v>
      </c>
      <c r="H55" s="109">
        <f t="shared" si="16"/>
        <v>48</v>
      </c>
      <c r="I55" s="109">
        <f t="shared" si="16"/>
        <v>54</v>
      </c>
      <c r="J55" s="109">
        <f t="shared" si="16"/>
        <v>54</v>
      </c>
      <c r="K55" s="109">
        <f t="shared" si="16"/>
        <v>54</v>
      </c>
      <c r="L55" s="109">
        <f t="shared" si="16"/>
        <v>54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30" t="s">
        <v>102</v>
      </c>
      <c r="B56" s="131">
        <v>0.0</v>
      </c>
      <c r="C56" s="132">
        <v>1.0</v>
      </c>
      <c r="D56" s="132">
        <v>1.0</v>
      </c>
      <c r="E56" s="132">
        <v>1.0</v>
      </c>
      <c r="F56" s="132">
        <v>1.0</v>
      </c>
      <c r="G56" s="132">
        <v>1.0</v>
      </c>
      <c r="H56" s="132">
        <v>1.0</v>
      </c>
      <c r="I56" s="132">
        <v>1.0</v>
      </c>
      <c r="J56" s="132">
        <v>1.0</v>
      </c>
      <c r="K56" s="132">
        <v>1.0</v>
      </c>
      <c r="L56" s="132">
        <v>1.0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30" t="s">
        <v>103</v>
      </c>
      <c r="B57" s="131">
        <v>0.0</v>
      </c>
      <c r="C57" s="132">
        <v>1.0</v>
      </c>
      <c r="D57" s="132">
        <v>1.0</v>
      </c>
      <c r="E57" s="132">
        <v>1.0</v>
      </c>
      <c r="F57" s="132">
        <v>1.0</v>
      </c>
      <c r="G57" s="132">
        <v>1.0</v>
      </c>
      <c r="H57" s="132">
        <v>1.0</v>
      </c>
      <c r="I57" s="132">
        <v>1.0</v>
      </c>
      <c r="J57" s="132">
        <v>1.0</v>
      </c>
      <c r="K57" s="132">
        <v>1.0</v>
      </c>
      <c r="L57" s="132">
        <v>1.0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29" t="s">
        <v>104</v>
      </c>
      <c r="B58" s="133"/>
      <c r="C58" s="134">
        <f t="shared" ref="C58:L58" si="17">C9/C55</f>
        <v>10</v>
      </c>
      <c r="D58" s="134">
        <f t="shared" si="17"/>
        <v>12.66666667</v>
      </c>
      <c r="E58" s="134">
        <f t="shared" si="17"/>
        <v>13.43478261</v>
      </c>
      <c r="F58" s="134">
        <f t="shared" si="17"/>
        <v>12.09090909</v>
      </c>
      <c r="G58" s="134">
        <f t="shared" si="17"/>
        <v>11.64285714</v>
      </c>
      <c r="H58" s="134">
        <f t="shared" si="17"/>
        <v>12.0625</v>
      </c>
      <c r="I58" s="134">
        <f t="shared" si="17"/>
        <v>12.38888889</v>
      </c>
      <c r="J58" s="134">
        <f t="shared" si="17"/>
        <v>12.38888889</v>
      </c>
      <c r="K58" s="134">
        <f t="shared" si="17"/>
        <v>12.38888889</v>
      </c>
      <c r="L58" s="134">
        <f t="shared" si="17"/>
        <v>12.38888889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2"/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66" t="s">
        <v>105</v>
      </c>
      <c r="B60" s="135">
        <f t="shared" ref="B60:L60" si="18">B55+B37</f>
        <v>3</v>
      </c>
      <c r="C60" s="136">
        <f t="shared" si="18"/>
        <v>16</v>
      </c>
      <c r="D60" s="136">
        <f t="shared" si="18"/>
        <v>26.5</v>
      </c>
      <c r="E60" s="136">
        <f t="shared" si="18"/>
        <v>34</v>
      </c>
      <c r="F60" s="136">
        <f t="shared" si="18"/>
        <v>49.5</v>
      </c>
      <c r="G60" s="136">
        <f t="shared" si="18"/>
        <v>61</v>
      </c>
      <c r="H60" s="136">
        <f t="shared" si="18"/>
        <v>69</v>
      </c>
      <c r="I60" s="136">
        <f t="shared" si="18"/>
        <v>75</v>
      </c>
      <c r="J60" s="136">
        <f t="shared" si="18"/>
        <v>77</v>
      </c>
      <c r="K60" s="136">
        <f t="shared" si="18"/>
        <v>77</v>
      </c>
      <c r="L60" s="136">
        <f t="shared" si="18"/>
        <v>77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4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45" t="s">
        <v>106</v>
      </c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4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48" t="s">
        <v>107</v>
      </c>
      <c r="B64" s="44"/>
      <c r="C64" s="13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 t="str">
        <f>A27</f>
        <v>Principal / School Leader</v>
      </c>
      <c r="B65" s="138">
        <v>96000.0</v>
      </c>
      <c r="C65" s="139">
        <v>121945.0</v>
      </c>
      <c r="D65" s="86">
        <f t="shared" ref="D65:L65" si="19">C65*(1+D66)</f>
        <v>124383.9</v>
      </c>
      <c r="E65" s="86">
        <f t="shared" si="19"/>
        <v>126871.578</v>
      </c>
      <c r="F65" s="86">
        <f t="shared" si="19"/>
        <v>129409.0096</v>
      </c>
      <c r="G65" s="86">
        <f t="shared" si="19"/>
        <v>131997.1898</v>
      </c>
      <c r="H65" s="86">
        <f t="shared" si="19"/>
        <v>134637.1335</v>
      </c>
      <c r="I65" s="86">
        <f t="shared" si="19"/>
        <v>137329.8762</v>
      </c>
      <c r="J65" s="86">
        <f t="shared" si="19"/>
        <v>140076.4737</v>
      </c>
      <c r="K65" s="86">
        <f t="shared" si="19"/>
        <v>142878.0032</v>
      </c>
      <c r="L65" s="86">
        <f t="shared" si="19"/>
        <v>145735.5633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29" t="s">
        <v>61</v>
      </c>
      <c r="B66" s="44"/>
      <c r="C66" s="83"/>
      <c r="D66" s="83">
        <v>0.02</v>
      </c>
      <c r="E66" s="83">
        <v>0.02</v>
      </c>
      <c r="F66" s="83">
        <v>0.02</v>
      </c>
      <c r="G66" s="83">
        <v>0.02</v>
      </c>
      <c r="H66" s="83">
        <v>0.02</v>
      </c>
      <c r="I66" s="83">
        <v>0.02</v>
      </c>
      <c r="J66" s="83">
        <v>0.02</v>
      </c>
      <c r="K66" s="83">
        <v>0.02</v>
      </c>
      <c r="L66" s="83">
        <v>0.02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20" t="s">
        <v>88</v>
      </c>
      <c r="B67" s="140">
        <v>90000.0</v>
      </c>
      <c r="C67" s="139">
        <v>116008.0</v>
      </c>
      <c r="D67" s="86">
        <f t="shared" ref="D67:L67" si="20">C67*(1+D68)</f>
        <v>118328.16</v>
      </c>
      <c r="E67" s="86">
        <f t="shared" si="20"/>
        <v>120694.7232</v>
      </c>
      <c r="F67" s="86">
        <f t="shared" si="20"/>
        <v>123108.6177</v>
      </c>
      <c r="G67" s="86">
        <f t="shared" si="20"/>
        <v>125570.79</v>
      </c>
      <c r="H67" s="86">
        <f t="shared" si="20"/>
        <v>128082.2058</v>
      </c>
      <c r="I67" s="86">
        <f t="shared" si="20"/>
        <v>130643.8499</v>
      </c>
      <c r="J67" s="86">
        <f t="shared" si="20"/>
        <v>133256.7269</v>
      </c>
      <c r="K67" s="86">
        <f t="shared" si="20"/>
        <v>135921.8615</v>
      </c>
      <c r="L67" s="86">
        <f t="shared" si="20"/>
        <v>138640.2987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20" t="s">
        <v>61</v>
      </c>
      <c r="B68" s="84"/>
      <c r="C68" s="91"/>
      <c r="D68" s="83">
        <v>0.02</v>
      </c>
      <c r="E68" s="83">
        <v>0.02</v>
      </c>
      <c r="F68" s="83">
        <v>0.02</v>
      </c>
      <c r="G68" s="83">
        <v>0.02</v>
      </c>
      <c r="H68" s="83">
        <v>0.02</v>
      </c>
      <c r="I68" s="83">
        <v>0.02</v>
      </c>
      <c r="J68" s="83">
        <v>0.02</v>
      </c>
      <c r="K68" s="83">
        <v>0.02</v>
      </c>
      <c r="L68" s="83">
        <v>0.02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 t="str">
        <f>A29</f>
        <v>Assistant Principal</v>
      </c>
      <c r="B69" s="84">
        <v>0.0</v>
      </c>
      <c r="C69" s="139">
        <v>0.0</v>
      </c>
      <c r="D69" s="141">
        <v>65000.0</v>
      </c>
      <c r="E69" s="86">
        <f t="shared" ref="E69:L69" si="21">D69*(1+E70)</f>
        <v>66300</v>
      </c>
      <c r="F69" s="86">
        <f t="shared" si="21"/>
        <v>67626</v>
      </c>
      <c r="G69" s="86">
        <f t="shared" si="21"/>
        <v>68978.52</v>
      </c>
      <c r="H69" s="86">
        <f t="shared" si="21"/>
        <v>70358.0904</v>
      </c>
      <c r="I69" s="86">
        <f t="shared" si="21"/>
        <v>71765.25221</v>
      </c>
      <c r="J69" s="86">
        <f t="shared" si="21"/>
        <v>73200.55725</v>
      </c>
      <c r="K69" s="86">
        <f t="shared" si="21"/>
        <v>74664.5684</v>
      </c>
      <c r="L69" s="86">
        <f t="shared" si="21"/>
        <v>76157.85977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29" t="s">
        <v>61</v>
      </c>
      <c r="B70" s="44"/>
      <c r="C70" s="83"/>
      <c r="D70" s="83">
        <v>0.02</v>
      </c>
      <c r="E70" s="83">
        <v>0.02</v>
      </c>
      <c r="F70" s="83">
        <v>0.02</v>
      </c>
      <c r="G70" s="83">
        <v>0.02</v>
      </c>
      <c r="H70" s="83">
        <v>0.02</v>
      </c>
      <c r="I70" s="83">
        <v>0.02</v>
      </c>
      <c r="J70" s="83">
        <v>0.02</v>
      </c>
      <c r="K70" s="83">
        <v>0.02</v>
      </c>
      <c r="L70" s="83">
        <v>0.02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 t="str">
        <f>A30</f>
        <v>Special Education Coordinator</v>
      </c>
      <c r="B71" s="84">
        <v>0.0</v>
      </c>
      <c r="C71" s="139">
        <v>0.0</v>
      </c>
      <c r="D71" s="141">
        <v>65000.0</v>
      </c>
      <c r="E71" s="86">
        <f t="shared" ref="E71:L71" si="22">D71*(1+E72)</f>
        <v>66300</v>
      </c>
      <c r="F71" s="86">
        <f t="shared" si="22"/>
        <v>67626</v>
      </c>
      <c r="G71" s="86">
        <f t="shared" si="22"/>
        <v>68978.52</v>
      </c>
      <c r="H71" s="86">
        <f t="shared" si="22"/>
        <v>70358.0904</v>
      </c>
      <c r="I71" s="86">
        <f t="shared" si="22"/>
        <v>71765.25221</v>
      </c>
      <c r="J71" s="86">
        <f t="shared" si="22"/>
        <v>73200.55725</v>
      </c>
      <c r="K71" s="86">
        <f t="shared" si="22"/>
        <v>74664.5684</v>
      </c>
      <c r="L71" s="86">
        <f t="shared" si="22"/>
        <v>76157.85977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29" t="s">
        <v>61</v>
      </c>
      <c r="B72" s="44"/>
      <c r="C72" s="83"/>
      <c r="D72" s="83">
        <v>0.02</v>
      </c>
      <c r="E72" s="83">
        <v>0.02</v>
      </c>
      <c r="F72" s="83">
        <v>0.02</v>
      </c>
      <c r="G72" s="83">
        <v>0.02</v>
      </c>
      <c r="H72" s="83">
        <v>0.02</v>
      </c>
      <c r="I72" s="83">
        <v>0.02</v>
      </c>
      <c r="J72" s="83">
        <v>0.02</v>
      </c>
      <c r="K72" s="83">
        <v>0.02</v>
      </c>
      <c r="L72" s="83">
        <v>0.02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 t="str">
        <f>A31</f>
        <v>Deans &amp; Directors</v>
      </c>
      <c r="B73" s="140">
        <v>60000.0</v>
      </c>
      <c r="C73" s="139">
        <v>61200.0</v>
      </c>
      <c r="D73" s="86">
        <f t="shared" ref="D73:L73" si="23">C73*(1+D74)</f>
        <v>62424</v>
      </c>
      <c r="E73" s="86">
        <f t="shared" si="23"/>
        <v>63672.48</v>
      </c>
      <c r="F73" s="86">
        <f t="shared" si="23"/>
        <v>64945.9296</v>
      </c>
      <c r="G73" s="86">
        <f t="shared" si="23"/>
        <v>66244.84819</v>
      </c>
      <c r="H73" s="86">
        <f t="shared" si="23"/>
        <v>67569.74516</v>
      </c>
      <c r="I73" s="86">
        <f t="shared" si="23"/>
        <v>68921.14006</v>
      </c>
      <c r="J73" s="86">
        <f t="shared" si="23"/>
        <v>70299.56286</v>
      </c>
      <c r="K73" s="86">
        <f t="shared" si="23"/>
        <v>71705.55412</v>
      </c>
      <c r="L73" s="86">
        <f t="shared" si="23"/>
        <v>73139.6652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29" t="s">
        <v>61</v>
      </c>
      <c r="B74" s="44"/>
      <c r="C74" s="83"/>
      <c r="D74" s="83">
        <v>0.02</v>
      </c>
      <c r="E74" s="83">
        <v>0.02</v>
      </c>
      <c r="F74" s="83">
        <v>0.02</v>
      </c>
      <c r="G74" s="83">
        <v>0.02</v>
      </c>
      <c r="H74" s="83">
        <v>0.02</v>
      </c>
      <c r="I74" s="83">
        <v>0.02</v>
      </c>
      <c r="J74" s="83">
        <v>0.02</v>
      </c>
      <c r="K74" s="83">
        <v>0.02</v>
      </c>
      <c r="L74" s="83">
        <v>0.02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94" t="str">
        <f>A32</f>
        <v>Nature Educators</v>
      </c>
      <c r="B75" s="84">
        <v>0.0</v>
      </c>
      <c r="C75" s="91"/>
      <c r="D75" s="86">
        <f>C75*(1+D76)</f>
        <v>0</v>
      </c>
      <c r="E75" s="141">
        <v>85000.0</v>
      </c>
      <c r="F75" s="86">
        <f t="shared" ref="F75:L75" si="24">E75*(1+F76)</f>
        <v>86700</v>
      </c>
      <c r="G75" s="86">
        <f t="shared" si="24"/>
        <v>88434</v>
      </c>
      <c r="H75" s="86">
        <f t="shared" si="24"/>
        <v>90202.68</v>
      </c>
      <c r="I75" s="86">
        <f t="shared" si="24"/>
        <v>92006.7336</v>
      </c>
      <c r="J75" s="86">
        <f t="shared" si="24"/>
        <v>93846.86827</v>
      </c>
      <c r="K75" s="86">
        <f t="shared" si="24"/>
        <v>95723.80564</v>
      </c>
      <c r="L75" s="86">
        <f t="shared" si="24"/>
        <v>97638.28175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29" t="s">
        <v>61</v>
      </c>
      <c r="B76" s="44"/>
      <c r="C76" s="83"/>
      <c r="D76" s="83">
        <v>0.02</v>
      </c>
      <c r="E76" s="83">
        <v>0.02</v>
      </c>
      <c r="F76" s="83">
        <v>0.02</v>
      </c>
      <c r="G76" s="83">
        <v>0.02</v>
      </c>
      <c r="H76" s="83">
        <v>0.02</v>
      </c>
      <c r="I76" s="83">
        <v>0.02</v>
      </c>
      <c r="J76" s="83">
        <v>0.02</v>
      </c>
      <c r="K76" s="83">
        <v>0.02</v>
      </c>
      <c r="L76" s="83">
        <v>0.02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 t="str">
        <f>A33</f>
        <v>Social Workers / Counseling</v>
      </c>
      <c r="B77" s="84">
        <v>0.0</v>
      </c>
      <c r="C77" s="91"/>
      <c r="D77" s="141">
        <v>50000.0</v>
      </c>
      <c r="E77" s="86">
        <f t="shared" ref="E77:L77" si="25">D77*(1+E78)</f>
        <v>51000</v>
      </c>
      <c r="F77" s="86">
        <f t="shared" si="25"/>
        <v>52020</v>
      </c>
      <c r="G77" s="86">
        <f t="shared" si="25"/>
        <v>53060.4</v>
      </c>
      <c r="H77" s="86">
        <f t="shared" si="25"/>
        <v>54121.608</v>
      </c>
      <c r="I77" s="86">
        <f t="shared" si="25"/>
        <v>55204.04016</v>
      </c>
      <c r="J77" s="86">
        <f t="shared" si="25"/>
        <v>56308.12096</v>
      </c>
      <c r="K77" s="86">
        <f t="shared" si="25"/>
        <v>57434.28338</v>
      </c>
      <c r="L77" s="86">
        <f t="shared" si="25"/>
        <v>58582.96905</v>
      </c>
      <c r="M77" s="10"/>
      <c r="N77" s="86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29" t="s">
        <v>61</v>
      </c>
      <c r="B78" s="44"/>
      <c r="C78" s="83"/>
      <c r="D78" s="83">
        <v>0.02</v>
      </c>
      <c r="E78" s="83">
        <v>0.02</v>
      </c>
      <c r="F78" s="83">
        <v>0.02</v>
      </c>
      <c r="G78" s="83">
        <v>0.02</v>
      </c>
      <c r="H78" s="83">
        <v>0.02</v>
      </c>
      <c r="I78" s="83">
        <v>0.02</v>
      </c>
      <c r="J78" s="83">
        <v>0.02</v>
      </c>
      <c r="K78" s="83">
        <v>0.02</v>
      </c>
      <c r="L78" s="83">
        <v>0.02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 t="str">
        <f>A34</f>
        <v>Office Manager</v>
      </c>
      <c r="B79" s="84">
        <v>0.0</v>
      </c>
      <c r="C79" s="142">
        <v>20000.0</v>
      </c>
      <c r="D79" s="86">
        <f t="shared" ref="D79:L79" si="26">C79*(1+D80)</f>
        <v>20400</v>
      </c>
      <c r="E79" s="86">
        <f t="shared" si="26"/>
        <v>20808</v>
      </c>
      <c r="F79" s="86">
        <f t="shared" si="26"/>
        <v>21224.16</v>
      </c>
      <c r="G79" s="86">
        <f t="shared" si="26"/>
        <v>21648.6432</v>
      </c>
      <c r="H79" s="86">
        <f t="shared" si="26"/>
        <v>22081.61606</v>
      </c>
      <c r="I79" s="86">
        <f t="shared" si="26"/>
        <v>22523.24839</v>
      </c>
      <c r="J79" s="86">
        <f t="shared" si="26"/>
        <v>22973.71335</v>
      </c>
      <c r="K79" s="86">
        <f t="shared" si="26"/>
        <v>23433.18762</v>
      </c>
      <c r="L79" s="86">
        <f t="shared" si="26"/>
        <v>23901.85137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29" t="s">
        <v>61</v>
      </c>
      <c r="B80" s="44"/>
      <c r="C80" s="83"/>
      <c r="D80" s="83">
        <v>0.02</v>
      </c>
      <c r="E80" s="83">
        <v>0.02</v>
      </c>
      <c r="F80" s="83">
        <v>0.02</v>
      </c>
      <c r="G80" s="83">
        <v>0.02</v>
      </c>
      <c r="H80" s="83">
        <v>0.02</v>
      </c>
      <c r="I80" s="83">
        <v>0.02</v>
      </c>
      <c r="J80" s="83">
        <v>0.02</v>
      </c>
      <c r="K80" s="83">
        <v>0.02</v>
      </c>
      <c r="L80" s="83">
        <v>0.02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20" t="s">
        <v>108</v>
      </c>
      <c r="B81" s="138">
        <v>0.0</v>
      </c>
      <c r="C81" s="143">
        <v>40000.0</v>
      </c>
      <c r="D81" s="86">
        <f t="shared" ref="D81:L81" si="27">C81*(1+D82)</f>
        <v>40800</v>
      </c>
      <c r="E81" s="86">
        <f t="shared" si="27"/>
        <v>41616</v>
      </c>
      <c r="F81" s="86">
        <f t="shared" si="27"/>
        <v>42448.32</v>
      </c>
      <c r="G81" s="86">
        <f t="shared" si="27"/>
        <v>43297.2864</v>
      </c>
      <c r="H81" s="86">
        <f t="shared" si="27"/>
        <v>44163.23213</v>
      </c>
      <c r="I81" s="86">
        <f t="shared" si="27"/>
        <v>45046.49677</v>
      </c>
      <c r="J81" s="86">
        <f t="shared" si="27"/>
        <v>45947.42671</v>
      </c>
      <c r="K81" s="86">
        <f t="shared" si="27"/>
        <v>46866.37524</v>
      </c>
      <c r="L81" s="86">
        <f t="shared" si="27"/>
        <v>47803.70274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29" t="s">
        <v>61</v>
      </c>
      <c r="B82" s="44"/>
      <c r="C82" s="83"/>
      <c r="D82" s="83">
        <v>0.02</v>
      </c>
      <c r="E82" s="83">
        <v>0.02</v>
      </c>
      <c r="F82" s="83">
        <v>0.02</v>
      </c>
      <c r="G82" s="83">
        <v>0.02</v>
      </c>
      <c r="H82" s="83">
        <v>0.02</v>
      </c>
      <c r="I82" s="83">
        <v>0.02</v>
      </c>
      <c r="J82" s="83">
        <v>0.02</v>
      </c>
      <c r="K82" s="83">
        <v>0.02</v>
      </c>
      <c r="L82" s="83">
        <v>0.02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 t="str">
        <f>A36</f>
        <v>Other (Nurses, etc.)</v>
      </c>
      <c r="B83" s="84">
        <v>0.0</v>
      </c>
      <c r="C83" s="139">
        <v>0.0</v>
      </c>
      <c r="D83" s="141">
        <v>70000.0</v>
      </c>
      <c r="E83" s="86">
        <f t="shared" ref="E83:L83" si="28">D83*(1+E84)</f>
        <v>71400</v>
      </c>
      <c r="F83" s="86">
        <f t="shared" si="28"/>
        <v>72828</v>
      </c>
      <c r="G83" s="86">
        <f t="shared" si="28"/>
        <v>74284.56</v>
      </c>
      <c r="H83" s="86">
        <f t="shared" si="28"/>
        <v>75770.2512</v>
      </c>
      <c r="I83" s="86">
        <f t="shared" si="28"/>
        <v>77285.65622</v>
      </c>
      <c r="J83" s="86">
        <f t="shared" si="28"/>
        <v>78831.36935</v>
      </c>
      <c r="K83" s="86">
        <f t="shared" si="28"/>
        <v>80407.99674</v>
      </c>
      <c r="L83" s="86">
        <f t="shared" si="28"/>
        <v>82016.15667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29" t="s">
        <v>61</v>
      </c>
      <c r="B84" s="44"/>
      <c r="C84" s="83"/>
      <c r="D84" s="83">
        <v>0.02</v>
      </c>
      <c r="E84" s="83">
        <v>0.02</v>
      </c>
      <c r="F84" s="83">
        <v>0.02</v>
      </c>
      <c r="G84" s="83">
        <v>0.02</v>
      </c>
      <c r="H84" s="83">
        <v>0.02</v>
      </c>
      <c r="I84" s="83">
        <v>0.02</v>
      </c>
      <c r="J84" s="83">
        <v>0.02</v>
      </c>
      <c r="K84" s="83">
        <v>0.02</v>
      </c>
      <c r="L84" s="83">
        <v>0.02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 t="s">
        <v>109</v>
      </c>
      <c r="B85" s="84">
        <v>0.0</v>
      </c>
      <c r="C85" s="96">
        <v>65000.0</v>
      </c>
      <c r="D85" s="86">
        <f t="shared" ref="D85:L85" si="29">C85*(1+D86)</f>
        <v>66300</v>
      </c>
      <c r="E85" s="86">
        <f t="shared" si="29"/>
        <v>67626</v>
      </c>
      <c r="F85" s="86">
        <f t="shared" si="29"/>
        <v>68978.52</v>
      </c>
      <c r="G85" s="86">
        <f t="shared" si="29"/>
        <v>70358.0904</v>
      </c>
      <c r="H85" s="86">
        <f t="shared" si="29"/>
        <v>71765.25221</v>
      </c>
      <c r="I85" s="86">
        <f t="shared" si="29"/>
        <v>73200.55725</v>
      </c>
      <c r="J85" s="86">
        <f t="shared" si="29"/>
        <v>74664.5684</v>
      </c>
      <c r="K85" s="86">
        <f t="shared" si="29"/>
        <v>76157.85977</v>
      </c>
      <c r="L85" s="86">
        <f t="shared" si="29"/>
        <v>77681.01696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29" t="s">
        <v>61</v>
      </c>
      <c r="B86" s="44"/>
      <c r="C86" s="83"/>
      <c r="D86" s="83">
        <v>0.02</v>
      </c>
      <c r="E86" s="83">
        <v>0.02</v>
      </c>
      <c r="F86" s="83">
        <v>0.02</v>
      </c>
      <c r="G86" s="83">
        <v>0.02</v>
      </c>
      <c r="H86" s="83">
        <v>0.02</v>
      </c>
      <c r="I86" s="83">
        <v>0.02</v>
      </c>
      <c r="J86" s="83">
        <v>0.02</v>
      </c>
      <c r="K86" s="83">
        <v>0.02</v>
      </c>
      <c r="L86" s="83">
        <v>0.02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36" t="s">
        <v>110</v>
      </c>
      <c r="B87" s="92">
        <f>B65*'Staff &amp; Personnel Expenses'!B27+B69*'Staff &amp; Personnel Expenses'!B29+B71*B30+B73*B31+B75*'Staff &amp; Personnel Expenses'!B32+B77*'Staff &amp; Personnel Expenses'!B33+B79*'Staff &amp; Personnel Expenses'!B34+B81*'Staff &amp; Personnel Expenses'!B35+B83*B36+B85*'Staff &amp; Personnel Expenses'!B55</f>
        <v>156000</v>
      </c>
      <c r="C87" s="93">
        <f>C65*'Staff &amp; Personnel Expenses'!C27+C67*'Staff &amp; Personnel Expenses'!C28+C69*'Staff &amp; Personnel Expenses'!C29+C71*C30+C73*C31+C75*'Staff &amp; Personnel Expenses'!C32+C77*'Staff &amp; Personnel Expenses'!C33+C79*'Staff &amp; Personnel Expenses'!C34+C81*'Staff &amp; Personnel Expenses'!C35+C83*C36+C85*'Staff &amp; Personnel Expenses'!C55</f>
        <v>1074153</v>
      </c>
      <c r="D87" s="93">
        <f>D65*'Staff &amp; Personnel Expenses'!D27+D69*'Staff &amp; Personnel Expenses'!D29+D71*D30+D73*D31+D75*'Staff &amp; Personnel Expenses'!D32+D77*'Staff &amp; Personnel Expenses'!D33+D79*'Staff &amp; Personnel Expenses'!D34+D81*'Staff &amp; Personnel Expenses'!D35+D83*D36+D85*'Staff &amp; Personnel Expenses'!D55</f>
        <v>1751023.85</v>
      </c>
      <c r="E87" s="93">
        <f>E65*'Staff &amp; Personnel Expenses'!E27+E69*'Staff &amp; Personnel Expenses'!E29+E71*E30+E73*E31+E75*'Staff &amp; Personnel Expenses'!E32+E77*'Staff &amp; Personnel Expenses'!E33+E79*'Staff &amp; Personnel Expenses'!E34+E81*'Staff &amp; Personnel Expenses'!E35+E83*E36+E85*'Staff &amp; Personnel Expenses'!E55</f>
        <v>2317582.596</v>
      </c>
      <c r="F87" s="93">
        <f>F65*'Staff &amp; Personnel Expenses'!F27+F69*'Staff &amp; Personnel Expenses'!F29+F71*F30+F73*F31+F75*'Staff &amp; Personnel Expenses'!F32+F77*'Staff &amp; Personnel Expenses'!F33+F79*'Staff &amp; Personnel Expenses'!F34+F81*'Staff &amp; Personnel Expenses'!F35+F83*F36+F85*'Staff &amp; Personnel Expenses'!F55</f>
        <v>3402860.937</v>
      </c>
      <c r="G87" s="93">
        <f>G65*'Staff &amp; Personnel Expenses'!G27+G69*'Staff &amp; Personnel Expenses'!G29+G71*G30+G73*G31+G75*'Staff &amp; Personnel Expenses'!G32+G77*'Staff &amp; Personnel Expenses'!G33+G79*'Staff &amp; Personnel Expenses'!G34+G81*'Staff &amp; Personnel Expenses'!G35+G83*G36+G85*'Staff &amp; Personnel Expenses'!G55</f>
        <v>4298695.77</v>
      </c>
      <c r="H87" s="93">
        <f>H65*'Staff &amp; Personnel Expenses'!H27+H69*'Staff &amp; Personnel Expenses'!H29+H71*H30+H73*H31+H75*'Staff &amp; Personnel Expenses'!H32+H77*'Staff &amp; Personnel Expenses'!H33+H79*'Staff &amp; Personnel Expenses'!H34+H81*'Staff &amp; Personnel Expenses'!H35+H83*H36+H85*'Staff &amp; Personnel Expenses'!H55</f>
        <v>4891464.423</v>
      </c>
      <c r="I87" s="93">
        <f>I65*'Staff &amp; Personnel Expenses'!I27+I69*'Staff &amp; Personnel Expenses'!I29+I71*I30+I73*I31+I75*'Staff &amp; Personnel Expenses'!I32+I77*'Staff &amp; Personnel Expenses'!I33+I79*'Staff &amp; Personnel Expenses'!I34+I81*'Staff &amp; Personnel Expenses'!I35+I83*I36+I85*'Staff &amp; Personnel Expenses'!I55</f>
        <v>5428497.055</v>
      </c>
      <c r="J87" s="93">
        <f>J65*'Staff &amp; Personnel Expenses'!J27+J69*'Staff &amp; Personnel Expenses'!J29+J71*J30+J73*J31+J75*'Staff &amp; Personnel Expenses'!J32+J77*'Staff &amp; Personnel Expenses'!J33+J79*'Staff &amp; Personnel Expenses'!J34+J81*'Staff &amp; Personnel Expenses'!J35+J83*J36+J85*'Staff &amp; Personnel Expenses'!J55</f>
        <v>5616348.83</v>
      </c>
      <c r="K87" s="93">
        <f>K65*'Staff &amp; Personnel Expenses'!K27+K69*'Staff &amp; Personnel Expenses'!K29+K71*K30+K73*K31+K75*'Staff &amp; Personnel Expenses'!K32+K77*'Staff &amp; Personnel Expenses'!K33+K79*'Staff &amp; Personnel Expenses'!K34+K81*'Staff &amp; Personnel Expenses'!K35+K83*K36+K85*'Staff &amp; Personnel Expenses'!K55</f>
        <v>5728675.807</v>
      </c>
      <c r="L87" s="93">
        <f>L65*'Staff &amp; Personnel Expenses'!L27+L69*'Staff &amp; Personnel Expenses'!L29+L71*L30+L73*L31+L75*'Staff &amp; Personnel Expenses'!L32+L77*'Staff &amp; Personnel Expenses'!L33+L79*'Staff &amp; Personnel Expenses'!L34+L81*'Staff &amp; Personnel Expenses'!L35+L83*L36+L85*'Staff &amp; Personnel Expenses'!L55</f>
        <v>5843249.323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29" t="s">
        <v>111</v>
      </c>
      <c r="B88" s="112">
        <f>B87/('Staff &amp; Personnel Expenses'!B$60)</f>
        <v>52000</v>
      </c>
      <c r="C88" s="30">
        <f>C87/('Staff &amp; Personnel Expenses'!C$60)</f>
        <v>67134.5625</v>
      </c>
      <c r="D88" s="30">
        <f>D87/('Staff &amp; Personnel Expenses'!D$60)</f>
        <v>66076.3717</v>
      </c>
      <c r="E88" s="30">
        <f>E87/('Staff &amp; Personnel Expenses'!E$60)</f>
        <v>68164.194</v>
      </c>
      <c r="F88" s="30">
        <f>F87/('Staff &amp; Personnel Expenses'!F$60)</f>
        <v>68744.6654</v>
      </c>
      <c r="G88" s="30">
        <f>G87/('Staff &amp; Personnel Expenses'!G$60)</f>
        <v>70470.42246</v>
      </c>
      <c r="H88" s="30">
        <f>H87/('Staff &amp; Personnel Expenses'!H$60)</f>
        <v>70890.78873</v>
      </c>
      <c r="I88" s="30">
        <f>I87/('Staff &amp; Personnel Expenses'!I$60)</f>
        <v>72379.96073</v>
      </c>
      <c r="J88" s="30">
        <f>J87/('Staff &amp; Personnel Expenses'!J$60)</f>
        <v>72939.59519</v>
      </c>
      <c r="K88" s="30">
        <f>K87/('Staff &amp; Personnel Expenses'!K$60)</f>
        <v>74398.3871</v>
      </c>
      <c r="L88" s="30">
        <f>L87/('Staff &amp; Personnel Expenses'!L$60)</f>
        <v>75886.35484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9"/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48" t="s">
        <v>112</v>
      </c>
      <c r="B90" s="110"/>
      <c r="C90" s="144"/>
      <c r="D90" s="111"/>
      <c r="E90" s="111"/>
      <c r="F90" s="111"/>
      <c r="G90" s="111"/>
      <c r="H90" s="111"/>
      <c r="I90" s="111"/>
      <c r="J90" s="111"/>
      <c r="K90" s="111"/>
      <c r="L90" s="111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45" t="s">
        <v>113</v>
      </c>
      <c r="B91" s="146">
        <f t="shared" ref="B91:L91" si="30">B92*B87</f>
        <v>11934</v>
      </c>
      <c r="C91" s="147">
        <f t="shared" si="30"/>
        <v>82172.7045</v>
      </c>
      <c r="D91" s="147">
        <f t="shared" si="30"/>
        <v>133953.3245</v>
      </c>
      <c r="E91" s="147">
        <f t="shared" si="30"/>
        <v>177295.0686</v>
      </c>
      <c r="F91" s="147">
        <f t="shared" si="30"/>
        <v>260318.8617</v>
      </c>
      <c r="G91" s="147">
        <f t="shared" si="30"/>
        <v>328850.2264</v>
      </c>
      <c r="H91" s="147">
        <f t="shared" si="30"/>
        <v>374197.0283</v>
      </c>
      <c r="I91" s="147">
        <f t="shared" si="30"/>
        <v>415280.0247</v>
      </c>
      <c r="J91" s="147">
        <f t="shared" si="30"/>
        <v>429650.6855</v>
      </c>
      <c r="K91" s="147">
        <f t="shared" si="30"/>
        <v>438243.6992</v>
      </c>
      <c r="L91" s="147">
        <f t="shared" si="30"/>
        <v>447008.5732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29" t="s">
        <v>114</v>
      </c>
      <c r="B92" s="90">
        <v>0.0765</v>
      </c>
      <c r="C92" s="83">
        <v>0.0765</v>
      </c>
      <c r="D92" s="83">
        <v>0.0765</v>
      </c>
      <c r="E92" s="83">
        <v>0.0765</v>
      </c>
      <c r="F92" s="83">
        <v>0.0765</v>
      </c>
      <c r="G92" s="83">
        <v>0.0765</v>
      </c>
      <c r="H92" s="83">
        <v>0.0765</v>
      </c>
      <c r="I92" s="83">
        <v>0.0765</v>
      </c>
      <c r="J92" s="83">
        <v>0.0765</v>
      </c>
      <c r="K92" s="83">
        <v>0.0765</v>
      </c>
      <c r="L92" s="83">
        <v>0.0765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45" t="s">
        <v>115</v>
      </c>
      <c r="B93" s="146">
        <f t="shared" ref="B93:L93" si="31">B96*B87</f>
        <v>13884</v>
      </c>
      <c r="C93" s="147">
        <f t="shared" si="31"/>
        <v>73815.79416</v>
      </c>
      <c r="D93" s="147">
        <f t="shared" si="31"/>
        <v>104571.1443</v>
      </c>
      <c r="E93" s="147">
        <f t="shared" si="31"/>
        <v>138406.0326</v>
      </c>
      <c r="F93" s="147">
        <f t="shared" si="31"/>
        <v>203218.8552</v>
      </c>
      <c r="G93" s="147">
        <f t="shared" si="31"/>
        <v>256718.1114</v>
      </c>
      <c r="H93" s="147">
        <f t="shared" si="31"/>
        <v>292118.2553</v>
      </c>
      <c r="I93" s="147">
        <f t="shared" si="31"/>
        <v>324189.8441</v>
      </c>
      <c r="J93" s="147">
        <f t="shared" si="31"/>
        <v>335408.3521</v>
      </c>
      <c r="K93" s="147">
        <f t="shared" si="31"/>
        <v>342116.5192</v>
      </c>
      <c r="L93" s="147">
        <f t="shared" si="31"/>
        <v>348958.8495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29" t="s">
        <v>116</v>
      </c>
      <c r="B94" s="90"/>
      <c r="C94" s="83">
        <v>0.1</v>
      </c>
      <c r="D94" s="83">
        <f t="shared" ref="D94:L94" si="32">C94</f>
        <v>0.1</v>
      </c>
      <c r="E94" s="83">
        <f t="shared" si="32"/>
        <v>0.1</v>
      </c>
      <c r="F94" s="83">
        <f t="shared" si="32"/>
        <v>0.1</v>
      </c>
      <c r="G94" s="83">
        <f t="shared" si="32"/>
        <v>0.1</v>
      </c>
      <c r="H94" s="83">
        <f t="shared" si="32"/>
        <v>0.1</v>
      </c>
      <c r="I94" s="83">
        <f t="shared" si="32"/>
        <v>0.1</v>
      </c>
      <c r="J94" s="83">
        <f t="shared" si="32"/>
        <v>0.1</v>
      </c>
      <c r="K94" s="83">
        <f t="shared" si="32"/>
        <v>0.1</v>
      </c>
      <c r="L94" s="83">
        <f t="shared" si="32"/>
        <v>0.1</v>
      </c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ht="15.75" customHeight="1">
      <c r="A95" s="29" t="s">
        <v>117</v>
      </c>
      <c r="B95" s="90"/>
      <c r="C95" s="83">
        <f t="shared" ref="C95:L95" si="33">1-C94</f>
        <v>0.9</v>
      </c>
      <c r="D95" s="83">
        <f t="shared" si="33"/>
        <v>0.9</v>
      </c>
      <c r="E95" s="83">
        <f t="shared" si="33"/>
        <v>0.9</v>
      </c>
      <c r="F95" s="83">
        <f t="shared" si="33"/>
        <v>0.9</v>
      </c>
      <c r="G95" s="83">
        <f t="shared" si="33"/>
        <v>0.9</v>
      </c>
      <c r="H95" s="83">
        <f t="shared" si="33"/>
        <v>0.9</v>
      </c>
      <c r="I95" s="83">
        <f t="shared" si="33"/>
        <v>0.9</v>
      </c>
      <c r="J95" s="83">
        <f t="shared" si="33"/>
        <v>0.9</v>
      </c>
      <c r="K95" s="83">
        <f t="shared" si="33"/>
        <v>0.9</v>
      </c>
      <c r="L95" s="83">
        <f t="shared" si="33"/>
        <v>0.9</v>
      </c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ht="15.75" customHeight="1">
      <c r="A96" s="29" t="s">
        <v>114</v>
      </c>
      <c r="B96" s="90">
        <v>0.089</v>
      </c>
      <c r="C96" s="83">
        <f>C94*0.0869+C95*0.0667</f>
        <v>0.06872</v>
      </c>
      <c r="D96" s="83">
        <f t="shared" ref="D96:L96" si="34">D94*0.0869+D95*0.0567</f>
        <v>0.05972</v>
      </c>
      <c r="E96" s="83">
        <f t="shared" si="34"/>
        <v>0.05972</v>
      </c>
      <c r="F96" s="83">
        <f t="shared" si="34"/>
        <v>0.05972</v>
      </c>
      <c r="G96" s="83">
        <f t="shared" si="34"/>
        <v>0.05972</v>
      </c>
      <c r="H96" s="83">
        <f t="shared" si="34"/>
        <v>0.05972</v>
      </c>
      <c r="I96" s="83">
        <f t="shared" si="34"/>
        <v>0.05972</v>
      </c>
      <c r="J96" s="83">
        <f t="shared" si="34"/>
        <v>0.05972</v>
      </c>
      <c r="K96" s="83">
        <f t="shared" si="34"/>
        <v>0.05972</v>
      </c>
      <c r="L96" s="83">
        <f t="shared" si="34"/>
        <v>0.05972</v>
      </c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ht="15.75" customHeight="1">
      <c r="A97" s="145" t="s">
        <v>118</v>
      </c>
      <c r="B97" s="146">
        <f t="shared" ref="B97:C97" si="35">(B99*B100+B101*B102+B103*B104+B105*B106)*B98</f>
        <v>27116.76</v>
      </c>
      <c r="C97" s="146">
        <f t="shared" si="35"/>
        <v>123558.6132</v>
      </c>
      <c r="D97" s="147">
        <f>(D99*D100+D101*D102+D103*D104+D105*D106)*D98*'Staff &amp; Personnel Expenses'!D60</f>
        <v>336030.1501</v>
      </c>
      <c r="E97" s="147">
        <f>(E99*E100+E101*E102+E103*E104+E105*E106)*E98*'Staff &amp; Personnel Expenses'!E60</f>
        <v>439755.6832</v>
      </c>
      <c r="F97" s="147">
        <f>(F99*F100+F101*F102+F103*F104+F105*F106)*F98*'Staff &amp; Personnel Expenses'!F60</f>
        <v>653037.1895</v>
      </c>
      <c r="G97" s="147">
        <f>(G99*G100+G101*G102+G103*G104+G105*G106)*G98*'Staff &amp; Personnel Expenses'!G60</f>
        <v>820847.9582</v>
      </c>
      <c r="H97" s="147">
        <f>(H99*H100+H101*H102+H103*H104+H105*H106)*H98*'Staff &amp; Personnel Expenses'!H60</f>
        <v>947070.1524</v>
      </c>
      <c r="I97" s="147">
        <f>(I99*I100+I101*I102+I103*I104+I105*I106)*I98*'Staff &amp; Personnel Expenses'!I60</f>
        <v>1050012.56</v>
      </c>
      <c r="J97" s="147">
        <f>(J99*J100+J101*J102+J103*J104+J105*J106)*J98*'Staff &amp; Personnel Expenses'!J60</f>
        <v>1099573.153</v>
      </c>
      <c r="K97" s="147">
        <f>(K99*K100+K101*K102+K103*K104+K105*K106)*K98*'Staff &amp; Personnel Expenses'!K60</f>
        <v>1121564.616</v>
      </c>
      <c r="L97" s="147">
        <f>(L99*L100+L101*L102+L103*L104+L105*L106)*L98*'Staff &amp; Personnel Expenses'!L60</f>
        <v>1143995.909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29" t="s">
        <v>119</v>
      </c>
      <c r="B98" s="148">
        <v>1.0</v>
      </c>
      <c r="C98" s="149">
        <v>0.75</v>
      </c>
      <c r="D98" s="150">
        <v>0.75</v>
      </c>
      <c r="E98" s="150">
        <v>0.75</v>
      </c>
      <c r="F98" s="150">
        <v>0.75</v>
      </c>
      <c r="G98" s="150">
        <v>0.75</v>
      </c>
      <c r="H98" s="150">
        <v>0.75</v>
      </c>
      <c r="I98" s="150">
        <v>0.75</v>
      </c>
      <c r="J98" s="150">
        <v>0.75</v>
      </c>
      <c r="K98" s="150">
        <v>0.75</v>
      </c>
      <c r="L98" s="150">
        <v>0.75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51" t="s">
        <v>120</v>
      </c>
      <c r="B99" s="152">
        <f>600*12</f>
        <v>7200</v>
      </c>
      <c r="C99" s="153">
        <f>779*12</f>
        <v>9348</v>
      </c>
      <c r="D99" s="153">
        <f t="shared" ref="D99:L99" si="36">+C99*1.02</f>
        <v>9534.96</v>
      </c>
      <c r="E99" s="153">
        <f t="shared" si="36"/>
        <v>9725.6592</v>
      </c>
      <c r="F99" s="153">
        <f t="shared" si="36"/>
        <v>9920.172384</v>
      </c>
      <c r="G99" s="153">
        <f t="shared" si="36"/>
        <v>10118.57583</v>
      </c>
      <c r="H99" s="153">
        <f t="shared" si="36"/>
        <v>10320.94735</v>
      </c>
      <c r="I99" s="153">
        <f t="shared" si="36"/>
        <v>10527.3663</v>
      </c>
      <c r="J99" s="153">
        <f t="shared" si="36"/>
        <v>10737.91362</v>
      </c>
      <c r="K99" s="153">
        <f t="shared" si="36"/>
        <v>10952.67189</v>
      </c>
      <c r="L99" s="153">
        <f t="shared" si="36"/>
        <v>11171.72533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29" t="s">
        <v>121</v>
      </c>
      <c r="B100" s="154">
        <v>1.0</v>
      </c>
      <c r="C100" s="155">
        <v>8.0</v>
      </c>
      <c r="D100" s="156">
        <f t="shared" ref="D100:L100" si="37">1-D106-D104-D102</f>
        <v>0.35</v>
      </c>
      <c r="E100" s="156">
        <f t="shared" si="37"/>
        <v>0.35</v>
      </c>
      <c r="F100" s="156">
        <f t="shared" si="37"/>
        <v>0.35</v>
      </c>
      <c r="G100" s="156">
        <f t="shared" si="37"/>
        <v>0.35</v>
      </c>
      <c r="H100" s="156">
        <f t="shared" si="37"/>
        <v>0.35</v>
      </c>
      <c r="I100" s="156">
        <f t="shared" si="37"/>
        <v>0.35</v>
      </c>
      <c r="J100" s="156">
        <f t="shared" si="37"/>
        <v>0.35</v>
      </c>
      <c r="K100" s="156">
        <f t="shared" si="37"/>
        <v>0.35</v>
      </c>
      <c r="L100" s="156">
        <f t="shared" si="37"/>
        <v>0.35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29" t="s">
        <v>122</v>
      </c>
      <c r="B101" s="157">
        <f>(1191+64.93)*12</f>
        <v>15071.16</v>
      </c>
      <c r="C101" s="158">
        <f t="shared" ref="C101:L101" si="38">+B101*1.02</f>
        <v>15372.5832</v>
      </c>
      <c r="D101" s="158">
        <f t="shared" si="38"/>
        <v>15680.03486</v>
      </c>
      <c r="E101" s="158">
        <f t="shared" si="38"/>
        <v>15993.63556</v>
      </c>
      <c r="F101" s="158">
        <f t="shared" si="38"/>
        <v>16313.50827</v>
      </c>
      <c r="G101" s="158">
        <f t="shared" si="38"/>
        <v>16639.77844</v>
      </c>
      <c r="H101" s="158">
        <f t="shared" si="38"/>
        <v>16972.57401</v>
      </c>
      <c r="I101" s="158">
        <f t="shared" si="38"/>
        <v>17312.02549</v>
      </c>
      <c r="J101" s="158">
        <f t="shared" si="38"/>
        <v>17658.266</v>
      </c>
      <c r="K101" s="158">
        <f t="shared" si="38"/>
        <v>18011.43132</v>
      </c>
      <c r="L101" s="158">
        <f t="shared" si="38"/>
        <v>18371.65994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29" t="s">
        <v>123</v>
      </c>
      <c r="B102" s="148">
        <v>0.0</v>
      </c>
      <c r="C102" s="159">
        <v>0.0</v>
      </c>
      <c r="D102" s="160">
        <v>0.2</v>
      </c>
      <c r="E102" s="160">
        <v>0.2</v>
      </c>
      <c r="F102" s="160">
        <v>0.2</v>
      </c>
      <c r="G102" s="160">
        <v>0.2</v>
      </c>
      <c r="H102" s="160">
        <v>0.2</v>
      </c>
      <c r="I102" s="160">
        <v>0.2</v>
      </c>
      <c r="J102" s="160">
        <v>0.2</v>
      </c>
      <c r="K102" s="160">
        <v>0.2</v>
      </c>
      <c r="L102" s="160">
        <v>0.2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29" t="s">
        <v>124</v>
      </c>
      <c r="B103" s="157">
        <f>(1599+60.73)*12</f>
        <v>19916.76</v>
      </c>
      <c r="C103" s="158">
        <f t="shared" ref="C103:L103" si="39">+B103*1.02</f>
        <v>20315.0952</v>
      </c>
      <c r="D103" s="158">
        <f t="shared" si="39"/>
        <v>20721.3971</v>
      </c>
      <c r="E103" s="158">
        <f t="shared" si="39"/>
        <v>21135.82505</v>
      </c>
      <c r="F103" s="158">
        <f t="shared" si="39"/>
        <v>21558.54155</v>
      </c>
      <c r="G103" s="158">
        <f t="shared" si="39"/>
        <v>21989.71238</v>
      </c>
      <c r="H103" s="158">
        <f t="shared" si="39"/>
        <v>22429.50663</v>
      </c>
      <c r="I103" s="158">
        <f t="shared" si="39"/>
        <v>22878.09676</v>
      </c>
      <c r="J103" s="158">
        <f t="shared" si="39"/>
        <v>23335.65869</v>
      </c>
      <c r="K103" s="158">
        <f t="shared" si="39"/>
        <v>23802.37187</v>
      </c>
      <c r="L103" s="158">
        <f t="shared" si="39"/>
        <v>24278.4193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29" t="s">
        <v>125</v>
      </c>
      <c r="B104" s="161">
        <v>1.0</v>
      </c>
      <c r="C104" s="162">
        <v>2.0</v>
      </c>
      <c r="D104" s="83">
        <v>0.2</v>
      </c>
      <c r="E104" s="83">
        <v>0.2</v>
      </c>
      <c r="F104" s="83">
        <v>0.2</v>
      </c>
      <c r="G104" s="83">
        <v>0.2</v>
      </c>
      <c r="H104" s="83">
        <v>0.2</v>
      </c>
      <c r="I104" s="83">
        <v>0.2</v>
      </c>
      <c r="J104" s="83">
        <v>0.2</v>
      </c>
      <c r="K104" s="83">
        <v>0.2</v>
      </c>
      <c r="L104" s="83">
        <v>0.2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29" t="s">
        <v>126</v>
      </c>
      <c r="B105" s="157">
        <f>(1905+110.14)*12</f>
        <v>24181.68</v>
      </c>
      <c r="C105" s="158">
        <f t="shared" ref="C105:L105" si="40">+B105*1.02</f>
        <v>24665.3136</v>
      </c>
      <c r="D105" s="158">
        <f t="shared" si="40"/>
        <v>25158.61987</v>
      </c>
      <c r="E105" s="158">
        <f t="shared" si="40"/>
        <v>25661.79227</v>
      </c>
      <c r="F105" s="158">
        <f t="shared" si="40"/>
        <v>26175.02811</v>
      </c>
      <c r="G105" s="158">
        <f t="shared" si="40"/>
        <v>26698.52868</v>
      </c>
      <c r="H105" s="158">
        <f t="shared" si="40"/>
        <v>27232.49925</v>
      </c>
      <c r="I105" s="158">
        <f t="shared" si="40"/>
        <v>27777.14924</v>
      </c>
      <c r="J105" s="158">
        <f t="shared" si="40"/>
        <v>28332.69222</v>
      </c>
      <c r="K105" s="158">
        <f t="shared" si="40"/>
        <v>28899.34606</v>
      </c>
      <c r="L105" s="158">
        <f t="shared" si="40"/>
        <v>29477.33299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63" t="s">
        <v>127</v>
      </c>
      <c r="B106" s="164">
        <v>0.0</v>
      </c>
      <c r="C106" s="165">
        <v>2.0</v>
      </c>
      <c r="D106" s="166">
        <v>0.25</v>
      </c>
      <c r="E106" s="166">
        <v>0.25</v>
      </c>
      <c r="F106" s="166">
        <v>0.25</v>
      </c>
      <c r="G106" s="166">
        <v>0.25</v>
      </c>
      <c r="H106" s="166">
        <v>0.25</v>
      </c>
      <c r="I106" s="166">
        <v>0.25</v>
      </c>
      <c r="J106" s="166">
        <v>0.25</v>
      </c>
      <c r="K106" s="166">
        <v>0.25</v>
      </c>
      <c r="L106" s="166">
        <v>0.25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45" t="s">
        <v>128</v>
      </c>
      <c r="B107" s="146">
        <f t="shared" ref="B107:L107" si="41">B108*B87</f>
        <v>3120</v>
      </c>
      <c r="C107" s="147">
        <f t="shared" si="41"/>
        <v>21483.06</v>
      </c>
      <c r="D107" s="147">
        <f t="shared" si="41"/>
        <v>35020.477</v>
      </c>
      <c r="E107" s="147">
        <f t="shared" si="41"/>
        <v>46351.65192</v>
      </c>
      <c r="F107" s="147">
        <f t="shared" si="41"/>
        <v>68057.21875</v>
      </c>
      <c r="G107" s="147">
        <f t="shared" si="41"/>
        <v>85973.9154</v>
      </c>
      <c r="H107" s="147">
        <f t="shared" si="41"/>
        <v>97829.28845</v>
      </c>
      <c r="I107" s="147">
        <f t="shared" si="41"/>
        <v>108569.9411</v>
      </c>
      <c r="J107" s="147">
        <f t="shared" si="41"/>
        <v>112326.9766</v>
      </c>
      <c r="K107" s="147">
        <f t="shared" si="41"/>
        <v>114573.5161</v>
      </c>
      <c r="L107" s="147">
        <f t="shared" si="41"/>
        <v>116864.9865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29" t="s">
        <v>114</v>
      </c>
      <c r="B108" s="90">
        <v>0.02</v>
      </c>
      <c r="C108" s="83">
        <v>0.02</v>
      </c>
      <c r="D108" s="83">
        <v>0.02</v>
      </c>
      <c r="E108" s="83">
        <v>0.02</v>
      </c>
      <c r="F108" s="83">
        <v>0.02</v>
      </c>
      <c r="G108" s="83">
        <v>0.02</v>
      </c>
      <c r="H108" s="83">
        <v>0.02</v>
      </c>
      <c r="I108" s="83">
        <v>0.02</v>
      </c>
      <c r="J108" s="83">
        <v>0.02</v>
      </c>
      <c r="K108" s="83">
        <v>0.02</v>
      </c>
      <c r="L108" s="83">
        <v>0.02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45" t="s">
        <v>129</v>
      </c>
      <c r="B109" s="146">
        <f t="shared" ref="B109:L109" si="42">B110*B87</f>
        <v>1560</v>
      </c>
      <c r="C109" s="147">
        <f t="shared" si="42"/>
        <v>10741.53</v>
      </c>
      <c r="D109" s="147">
        <f t="shared" si="42"/>
        <v>17510.2385</v>
      </c>
      <c r="E109" s="147">
        <f t="shared" si="42"/>
        <v>23175.82596</v>
      </c>
      <c r="F109" s="147">
        <f t="shared" si="42"/>
        <v>34028.60937</v>
      </c>
      <c r="G109" s="147">
        <f t="shared" si="42"/>
        <v>42986.9577</v>
      </c>
      <c r="H109" s="147">
        <f t="shared" si="42"/>
        <v>48914.64423</v>
      </c>
      <c r="I109" s="147">
        <f t="shared" si="42"/>
        <v>54284.97055</v>
      </c>
      <c r="J109" s="147">
        <f t="shared" si="42"/>
        <v>56163.4883</v>
      </c>
      <c r="K109" s="147">
        <f t="shared" si="42"/>
        <v>57286.75807</v>
      </c>
      <c r="L109" s="147">
        <f t="shared" si="42"/>
        <v>58432.49323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29" t="s">
        <v>130</v>
      </c>
      <c r="B110" s="90">
        <v>0.01</v>
      </c>
      <c r="C110" s="83">
        <v>0.01</v>
      </c>
      <c r="D110" s="83">
        <v>0.01</v>
      </c>
      <c r="E110" s="83">
        <v>0.01</v>
      </c>
      <c r="F110" s="83">
        <v>0.01</v>
      </c>
      <c r="G110" s="83">
        <v>0.01</v>
      </c>
      <c r="H110" s="83">
        <v>0.01</v>
      </c>
      <c r="I110" s="83">
        <v>0.01</v>
      </c>
      <c r="J110" s="83">
        <v>0.01</v>
      </c>
      <c r="K110" s="83">
        <v>0.01</v>
      </c>
      <c r="L110" s="83">
        <v>0.01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36" t="s">
        <v>131</v>
      </c>
      <c r="B111" s="92">
        <f t="shared" ref="B111:L111" si="43">B91+B93+B97+B107+B109</f>
        <v>57614.76</v>
      </c>
      <c r="C111" s="93">
        <f t="shared" si="43"/>
        <v>311771.7019</v>
      </c>
      <c r="D111" s="93">
        <f t="shared" si="43"/>
        <v>627085.3344</v>
      </c>
      <c r="E111" s="93">
        <f t="shared" si="43"/>
        <v>824984.2623</v>
      </c>
      <c r="F111" s="93">
        <f t="shared" si="43"/>
        <v>1218660.735</v>
      </c>
      <c r="G111" s="93">
        <f t="shared" si="43"/>
        <v>1535377.169</v>
      </c>
      <c r="H111" s="93">
        <f t="shared" si="43"/>
        <v>1760129.369</v>
      </c>
      <c r="I111" s="93">
        <f t="shared" si="43"/>
        <v>1952337.341</v>
      </c>
      <c r="J111" s="93">
        <f t="shared" si="43"/>
        <v>2033122.656</v>
      </c>
      <c r="K111" s="93">
        <f t="shared" si="43"/>
        <v>2073785.109</v>
      </c>
      <c r="L111" s="93">
        <f t="shared" si="43"/>
        <v>2115260.811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29" t="s">
        <v>111</v>
      </c>
      <c r="B112" s="112">
        <f>B111/('Staff &amp; Personnel Expenses'!B$60)</f>
        <v>19204.92</v>
      </c>
      <c r="C112" s="30">
        <f>C111/('Staff &amp; Personnel Expenses'!C$60)</f>
        <v>19485.73137</v>
      </c>
      <c r="D112" s="30">
        <f>D111/('Staff &amp; Personnel Expenses'!D$60)</f>
        <v>23663.59752</v>
      </c>
      <c r="E112" s="30">
        <f>E111/('Staff &amp; Personnel Expenses'!E$60)</f>
        <v>24264.24301</v>
      </c>
      <c r="F112" s="30">
        <f>F111/('Staff &amp; Personnel Expenses'!F$60)</f>
        <v>24619.40878</v>
      </c>
      <c r="G112" s="30">
        <f>G111/('Staff &amp; Personnel Expenses'!G$60)</f>
        <v>25170.11753</v>
      </c>
      <c r="H112" s="30">
        <f>H111/('Staff &amp; Personnel Expenses'!H$60)</f>
        <v>25509.12129</v>
      </c>
      <c r="I112" s="30">
        <f>I111/('Staff &amp; Personnel Expenses'!I$60)</f>
        <v>26031.16454</v>
      </c>
      <c r="J112" s="30">
        <f>J111/('Staff &amp; Personnel Expenses'!J$60)</f>
        <v>26404.19033</v>
      </c>
      <c r="K112" s="30">
        <f>K111/('Staff &amp; Personnel Expenses'!K$60)</f>
        <v>26932.27414</v>
      </c>
      <c r="L112" s="30">
        <f>L111/('Staff &amp; Personnel Expenses'!L$60)</f>
        <v>27470.91962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29" t="s">
        <v>132</v>
      </c>
      <c r="B113" s="167">
        <f t="shared" ref="B113:L113" si="44">B112/B88</f>
        <v>0.3693253846</v>
      </c>
      <c r="C113" s="168">
        <f t="shared" si="44"/>
        <v>0.2902488769</v>
      </c>
      <c r="D113" s="168">
        <f t="shared" si="44"/>
        <v>0.3581249532</v>
      </c>
      <c r="E113" s="168">
        <f t="shared" si="44"/>
        <v>0.3559675775</v>
      </c>
      <c r="F113" s="168">
        <f t="shared" si="44"/>
        <v>0.35812828</v>
      </c>
      <c r="G113" s="168">
        <f t="shared" si="44"/>
        <v>0.3571727918</v>
      </c>
      <c r="H113" s="168">
        <f t="shared" si="44"/>
        <v>0.3598368948</v>
      </c>
      <c r="I113" s="168">
        <f t="shared" si="44"/>
        <v>0.3596460164</v>
      </c>
      <c r="J113" s="168">
        <f t="shared" si="44"/>
        <v>0.3620007797</v>
      </c>
      <c r="K113" s="168">
        <f t="shared" si="44"/>
        <v>0.3620007797</v>
      </c>
      <c r="L113" s="168">
        <f t="shared" si="44"/>
        <v>0.3620007797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9"/>
      <c r="B114" s="44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48" t="s">
        <v>133</v>
      </c>
      <c r="B115" s="44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 t="s">
        <v>134</v>
      </c>
      <c r="B116" s="169">
        <f t="shared" ref="B116:L116" si="45">B117*B60</f>
        <v>0</v>
      </c>
      <c r="C116" s="170">
        <f t="shared" si="45"/>
        <v>4800</v>
      </c>
      <c r="D116" s="170">
        <f t="shared" si="45"/>
        <v>8109</v>
      </c>
      <c r="E116" s="170">
        <f t="shared" si="45"/>
        <v>10612.08</v>
      </c>
      <c r="F116" s="170">
        <f t="shared" si="45"/>
        <v>15758.9388</v>
      </c>
      <c r="G116" s="170">
        <f t="shared" si="45"/>
        <v>19808.50853</v>
      </c>
      <c r="H116" s="170">
        <f t="shared" si="45"/>
        <v>22854.47263</v>
      </c>
      <c r="I116" s="170">
        <f t="shared" si="45"/>
        <v>25338.65443</v>
      </c>
      <c r="J116" s="170">
        <f t="shared" si="45"/>
        <v>26534.63892</v>
      </c>
      <c r="K116" s="170">
        <f t="shared" si="45"/>
        <v>27065.3317</v>
      </c>
      <c r="L116" s="170">
        <f t="shared" si="45"/>
        <v>27606.63834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29" t="s">
        <v>130</v>
      </c>
      <c r="B117" s="157">
        <v>0.0</v>
      </c>
      <c r="C117" s="171">
        <v>300.0</v>
      </c>
      <c r="D117" s="158">
        <f t="shared" ref="D117:L117" si="46">+C117*1.02</f>
        <v>306</v>
      </c>
      <c r="E117" s="158">
        <f t="shared" si="46"/>
        <v>312.12</v>
      </c>
      <c r="F117" s="158">
        <f t="shared" si="46"/>
        <v>318.3624</v>
      </c>
      <c r="G117" s="158">
        <f t="shared" si="46"/>
        <v>324.729648</v>
      </c>
      <c r="H117" s="158">
        <f t="shared" si="46"/>
        <v>331.224241</v>
      </c>
      <c r="I117" s="158">
        <f t="shared" si="46"/>
        <v>337.8487258</v>
      </c>
      <c r="J117" s="158">
        <f t="shared" si="46"/>
        <v>344.6057003</v>
      </c>
      <c r="K117" s="158">
        <f t="shared" si="46"/>
        <v>351.4978143</v>
      </c>
      <c r="L117" s="158">
        <f t="shared" si="46"/>
        <v>358.5277706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76" t="s">
        <v>135</v>
      </c>
      <c r="B118" s="172">
        <v>75749.0</v>
      </c>
      <c r="C118" s="173">
        <v>0.0</v>
      </c>
      <c r="D118" s="173">
        <v>0.0</v>
      </c>
      <c r="E118" s="173">
        <v>0.0</v>
      </c>
      <c r="F118" s="173">
        <v>0.0</v>
      </c>
      <c r="G118" s="173">
        <v>0.0</v>
      </c>
      <c r="H118" s="173">
        <v>0.0</v>
      </c>
      <c r="I118" s="173">
        <v>0.0</v>
      </c>
      <c r="J118" s="173">
        <v>0.0</v>
      </c>
      <c r="K118" s="173">
        <v>0.0</v>
      </c>
      <c r="L118" s="173">
        <v>0.0</v>
      </c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ht="15.75" customHeight="1">
      <c r="A119" s="76" t="s">
        <v>136</v>
      </c>
      <c r="B119" s="174">
        <v>3600.0</v>
      </c>
      <c r="C119" s="173">
        <v>0.0</v>
      </c>
      <c r="D119" s="173">
        <f t="shared" ref="D119:L119" si="47">D120*D55*D121</f>
        <v>18000</v>
      </c>
      <c r="E119" s="173">
        <f t="shared" si="47"/>
        <v>23000</v>
      </c>
      <c r="F119" s="173">
        <f t="shared" si="47"/>
        <v>33000</v>
      </c>
      <c r="G119" s="173">
        <f t="shared" si="47"/>
        <v>42000</v>
      </c>
      <c r="H119" s="173">
        <f t="shared" si="47"/>
        <v>48000</v>
      </c>
      <c r="I119" s="173">
        <f t="shared" si="47"/>
        <v>54000</v>
      </c>
      <c r="J119" s="173">
        <f t="shared" si="47"/>
        <v>54000</v>
      </c>
      <c r="K119" s="173">
        <f t="shared" si="47"/>
        <v>54000</v>
      </c>
      <c r="L119" s="173">
        <f t="shared" si="47"/>
        <v>54000</v>
      </c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ht="15.75" customHeight="1">
      <c r="A120" s="87" t="s">
        <v>137</v>
      </c>
      <c r="B120" s="101">
        <v>0.0</v>
      </c>
      <c r="C120" s="102">
        <v>10.0</v>
      </c>
      <c r="D120" s="102">
        <v>10.0</v>
      </c>
      <c r="E120" s="102">
        <v>10.0</v>
      </c>
      <c r="F120" s="102">
        <v>10.0</v>
      </c>
      <c r="G120" s="102">
        <v>10.0</v>
      </c>
      <c r="H120" s="102">
        <v>10.0</v>
      </c>
      <c r="I120" s="102">
        <v>10.0</v>
      </c>
      <c r="J120" s="102">
        <v>10.0</v>
      </c>
      <c r="K120" s="102">
        <v>10.0</v>
      </c>
      <c r="L120" s="102">
        <v>10.0</v>
      </c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ht="15.75" customHeight="1">
      <c r="A121" s="87" t="s">
        <v>138</v>
      </c>
      <c r="B121" s="175">
        <v>0.0</v>
      </c>
      <c r="C121" s="176">
        <v>100.0</v>
      </c>
      <c r="D121" s="176">
        <v>100.0</v>
      </c>
      <c r="E121" s="176">
        <v>100.0</v>
      </c>
      <c r="F121" s="176">
        <v>100.0</v>
      </c>
      <c r="G121" s="176">
        <v>100.0</v>
      </c>
      <c r="H121" s="176">
        <v>100.0</v>
      </c>
      <c r="I121" s="176">
        <v>100.0</v>
      </c>
      <c r="J121" s="176">
        <v>100.0</v>
      </c>
      <c r="K121" s="176">
        <v>100.0</v>
      </c>
      <c r="L121" s="176">
        <v>100.0</v>
      </c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ht="15.75" customHeight="1">
      <c r="A122" s="36" t="s">
        <v>139</v>
      </c>
      <c r="B122" s="41">
        <f>B116+B118+B119</f>
        <v>79349</v>
      </c>
      <c r="C122" s="42">
        <f t="shared" ref="C122:L122" si="48">C116+C119</f>
        <v>4800</v>
      </c>
      <c r="D122" s="42">
        <f t="shared" si="48"/>
        <v>26109</v>
      </c>
      <c r="E122" s="42">
        <f t="shared" si="48"/>
        <v>33612.08</v>
      </c>
      <c r="F122" s="42">
        <f t="shared" si="48"/>
        <v>48758.9388</v>
      </c>
      <c r="G122" s="42">
        <f t="shared" si="48"/>
        <v>61808.50853</v>
      </c>
      <c r="H122" s="42">
        <f t="shared" si="48"/>
        <v>70854.47263</v>
      </c>
      <c r="I122" s="42">
        <f t="shared" si="48"/>
        <v>79338.65443</v>
      </c>
      <c r="J122" s="42">
        <f t="shared" si="48"/>
        <v>80534.63892</v>
      </c>
      <c r="K122" s="42">
        <f t="shared" si="48"/>
        <v>81065.3317</v>
      </c>
      <c r="L122" s="42">
        <f t="shared" si="48"/>
        <v>81606.63834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9"/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36" t="s">
        <v>140</v>
      </c>
      <c r="B124" s="92">
        <f t="shared" ref="B124:L124" si="49">B87+B111+B122</f>
        <v>292963.76</v>
      </c>
      <c r="C124" s="93">
        <f t="shared" si="49"/>
        <v>1390724.702</v>
      </c>
      <c r="D124" s="93">
        <f t="shared" si="49"/>
        <v>2404218.184</v>
      </c>
      <c r="E124" s="93">
        <f t="shared" si="49"/>
        <v>3176178.938</v>
      </c>
      <c r="F124" s="93">
        <f t="shared" si="49"/>
        <v>4670280.611</v>
      </c>
      <c r="G124" s="93">
        <f t="shared" si="49"/>
        <v>5895881.447</v>
      </c>
      <c r="H124" s="93">
        <f t="shared" si="49"/>
        <v>6722448.264</v>
      </c>
      <c r="I124" s="93">
        <f t="shared" si="49"/>
        <v>7460173.05</v>
      </c>
      <c r="J124" s="93">
        <f t="shared" si="49"/>
        <v>7730006.125</v>
      </c>
      <c r="K124" s="93">
        <f t="shared" si="49"/>
        <v>7883526.247</v>
      </c>
      <c r="L124" s="93">
        <f t="shared" si="49"/>
        <v>8040116.772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77" t="s">
        <v>111</v>
      </c>
      <c r="B125" s="178">
        <f>B124/'Staff &amp; Personnel Expenses'!B60</f>
        <v>97654.58667</v>
      </c>
      <c r="C125" s="179">
        <f>C124/'Staff &amp; Personnel Expenses'!C60</f>
        <v>86920.29387</v>
      </c>
      <c r="D125" s="179">
        <f>D124/'Staff &amp; Personnel Expenses'!D60</f>
        <v>90725.21451</v>
      </c>
      <c r="E125" s="179">
        <f>E124/'Staff &amp; Personnel Expenses'!E60</f>
        <v>93417.0276</v>
      </c>
      <c r="F125" s="179">
        <f>F124/'Staff &amp; Personnel Expenses'!F60</f>
        <v>94349.10325</v>
      </c>
      <c r="G125" s="179">
        <f>G124/'Staff &amp; Personnel Expenses'!G60</f>
        <v>96653.79422</v>
      </c>
      <c r="H125" s="179">
        <f>H124/'Staff &amp; Personnel Expenses'!H60</f>
        <v>97426.78643</v>
      </c>
      <c r="I125" s="179">
        <f>I124/'Staff &amp; Personnel Expenses'!I60</f>
        <v>99468.974</v>
      </c>
      <c r="J125" s="179">
        <f>J124/'Staff &amp; Personnel Expenses'!J60</f>
        <v>100389.6899</v>
      </c>
      <c r="K125" s="179">
        <f>K124/'Staff &amp; Personnel Expenses'!K60</f>
        <v>102383.4578</v>
      </c>
      <c r="L125" s="179">
        <f>L124/'Staff &amp; Personnel Expenses'!L60</f>
        <v>104417.1009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29" t="s">
        <v>141</v>
      </c>
      <c r="B126" s="112"/>
      <c r="C126" s="30">
        <f>+C124/'Enrollment &amp; Revenue'!C17</f>
        <v>12642.95184</v>
      </c>
      <c r="D126" s="30">
        <f>+D124/'Enrollment &amp; Revenue'!D17</f>
        <v>10544.8166</v>
      </c>
      <c r="E126" s="30">
        <f>+E124/'Enrollment &amp; Revenue'!E17</f>
        <v>10278.89624</v>
      </c>
      <c r="F126" s="30">
        <f>+F124/'Enrollment &amp; Revenue'!F17</f>
        <v>11704.96394</v>
      </c>
      <c r="G126" s="30">
        <f>+G124/'Enrollment &amp; Revenue'!G17</f>
        <v>12057.01727</v>
      </c>
      <c r="H126" s="30">
        <f>+H124/'Enrollment &amp; Revenue'!H17</f>
        <v>11610.44605</v>
      </c>
      <c r="I126" s="30">
        <f>+I124/'Enrollment &amp; Revenue'!I17</f>
        <v>11151.23027</v>
      </c>
      <c r="J126" s="30">
        <f>+J124/'Enrollment &amp; Revenue'!J17</f>
        <v>11554.5682</v>
      </c>
      <c r="K126" s="30">
        <f>+K124/'Enrollment &amp; Revenue'!K17</f>
        <v>11784.04521</v>
      </c>
      <c r="L126" s="30">
        <f>+L124/'Enrollment &amp; Revenue'!L17</f>
        <v>12018.11177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77" t="s">
        <v>83</v>
      </c>
      <c r="B127" s="180">
        <f>B124/'Enrollment &amp; Revenue'!B93</f>
        <v>0.4177257157</v>
      </c>
      <c r="C127" s="181">
        <f>C124/'Enrollment &amp; Revenue'!C93</f>
        <v>0.5207644124</v>
      </c>
      <c r="D127" s="181">
        <f>D124/'Enrollment &amp; Revenue'!D93</f>
        <v>0.5255616517</v>
      </c>
      <c r="E127" s="181">
        <f>E124/'Enrollment &amp; Revenue'!E93</f>
        <v>0.5622817053</v>
      </c>
      <c r="F127" s="181">
        <f>F124/'Enrollment &amp; Revenue'!F93</f>
        <v>0.6402488586</v>
      </c>
      <c r="G127" s="181">
        <f>G124/'Enrollment &amp; Revenue'!G93</f>
        <v>0.6474703956</v>
      </c>
      <c r="H127" s="181">
        <f>H124/'Enrollment &amp; Revenue'!H93</f>
        <v>0.6119478746</v>
      </c>
      <c r="I127" s="181">
        <f>I124/'Enrollment &amp; Revenue'!I93</f>
        <v>0.5767702938</v>
      </c>
      <c r="J127" s="181">
        <f>J124/'Enrollment &amp; Revenue'!J93</f>
        <v>0.586251482</v>
      </c>
      <c r="K127" s="181">
        <f>K124/'Enrollment &amp; Revenue'!K93</f>
        <v>0.586502677</v>
      </c>
      <c r="L127" s="181">
        <f>L124/'Enrollment &amp; Revenue'!L93</f>
        <v>0.5867492226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 t="s">
        <v>142</v>
      </c>
      <c r="B129" s="170">
        <f>(B87-B85)*(1+B113)</f>
        <v>213614.76</v>
      </c>
      <c r="C129" s="170">
        <f>(C87-C85*C55-C79)*(1+C113)</f>
        <v>437591.7773</v>
      </c>
      <c r="D129" s="170">
        <f t="shared" ref="D129:L129" si="50">(D87-D85*D55)*(1+D113)</f>
        <v>757322.8652</v>
      </c>
      <c r="E129" s="170">
        <f t="shared" si="50"/>
        <v>1033497.6</v>
      </c>
      <c r="F129" s="170">
        <f t="shared" si="50"/>
        <v>1530026.274</v>
      </c>
      <c r="G129" s="170">
        <f t="shared" si="50"/>
        <v>1823573.328</v>
      </c>
      <c r="H129" s="170">
        <f t="shared" si="50"/>
        <v>1967319.981</v>
      </c>
      <c r="I129" s="170">
        <f t="shared" si="50"/>
        <v>2006384.708</v>
      </c>
      <c r="J129" s="170">
        <f t="shared" si="50"/>
        <v>2158038.665</v>
      </c>
      <c r="K129" s="170">
        <f t="shared" si="50"/>
        <v>2201199.439</v>
      </c>
      <c r="L129" s="170">
        <f t="shared" si="50"/>
        <v>2245223.427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29" t="s">
        <v>143</v>
      </c>
      <c r="B130" s="182">
        <f t="shared" ref="B130:L130" si="51">B129/12</f>
        <v>17801.23</v>
      </c>
      <c r="C130" s="182">
        <f t="shared" si="51"/>
        <v>36465.98145</v>
      </c>
      <c r="D130" s="182">
        <f t="shared" si="51"/>
        <v>63110.23877</v>
      </c>
      <c r="E130" s="182">
        <f t="shared" si="51"/>
        <v>86124.80002</v>
      </c>
      <c r="F130" s="182">
        <f t="shared" si="51"/>
        <v>127502.1895</v>
      </c>
      <c r="G130" s="182">
        <f t="shared" si="51"/>
        <v>151964.444</v>
      </c>
      <c r="H130" s="182">
        <f t="shared" si="51"/>
        <v>163943.3317</v>
      </c>
      <c r="I130" s="182">
        <f t="shared" si="51"/>
        <v>167198.7256</v>
      </c>
      <c r="J130" s="182">
        <f t="shared" si="51"/>
        <v>179836.5554</v>
      </c>
      <c r="K130" s="182">
        <f t="shared" si="51"/>
        <v>183433.2866</v>
      </c>
      <c r="L130" s="182">
        <f t="shared" si="51"/>
        <v>187101.9523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29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 t="s">
        <v>144</v>
      </c>
      <c r="B132" s="170">
        <f>+B129-B87-B111</f>
        <v>0</v>
      </c>
      <c r="C132" s="170">
        <f t="shared" ref="C132:L132" si="52">C87+C111-C129</f>
        <v>948332.9245</v>
      </c>
      <c r="D132" s="170">
        <f t="shared" si="52"/>
        <v>1620786.319</v>
      </c>
      <c r="E132" s="170">
        <f t="shared" si="52"/>
        <v>2109069.258</v>
      </c>
      <c r="F132" s="170">
        <f t="shared" si="52"/>
        <v>3091495.398</v>
      </c>
      <c r="G132" s="170">
        <f t="shared" si="52"/>
        <v>4010499.611</v>
      </c>
      <c r="H132" s="170">
        <f t="shared" si="52"/>
        <v>4684273.81</v>
      </c>
      <c r="I132" s="170">
        <f t="shared" si="52"/>
        <v>5374449.688</v>
      </c>
      <c r="J132" s="170">
        <f t="shared" si="52"/>
        <v>5491432.82</v>
      </c>
      <c r="K132" s="170">
        <f t="shared" si="52"/>
        <v>5601261.477</v>
      </c>
      <c r="L132" s="170">
        <f t="shared" si="52"/>
        <v>5713286.706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29" t="s">
        <v>143</v>
      </c>
      <c r="B133" s="182">
        <f>B132/10</f>
        <v>0</v>
      </c>
      <c r="C133" s="182">
        <f>C132/12</f>
        <v>79027.74371</v>
      </c>
      <c r="D133" s="182">
        <f t="shared" ref="D133:L133" si="53">D132/10</f>
        <v>162078.6319</v>
      </c>
      <c r="E133" s="182">
        <f t="shared" si="53"/>
        <v>210906.9258</v>
      </c>
      <c r="F133" s="182">
        <f t="shared" si="53"/>
        <v>309149.5398</v>
      </c>
      <c r="G133" s="182">
        <f t="shared" si="53"/>
        <v>401049.9611</v>
      </c>
      <c r="H133" s="182">
        <f t="shared" si="53"/>
        <v>468427.381</v>
      </c>
      <c r="I133" s="182">
        <f t="shared" si="53"/>
        <v>537444.9688</v>
      </c>
      <c r="J133" s="182">
        <f t="shared" si="53"/>
        <v>549143.282</v>
      </c>
      <c r="K133" s="182">
        <f t="shared" si="53"/>
        <v>560126.1477</v>
      </c>
      <c r="L133" s="182">
        <f t="shared" si="53"/>
        <v>571328.6706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ht="15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ht="15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ht="15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ht="15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ht="15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</sheetData>
  <mergeCells count="1">
    <mergeCell ref="C5:L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3864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0.88"/>
    <col customWidth="1" min="2" max="12" width="13.63"/>
    <col customWidth="1" min="13" max="14" width="7.63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5.75" customHeight="1">
      <c r="A2" s="11" t="s">
        <v>145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3"/>
      <c r="B5" s="14" t="s">
        <v>26</v>
      </c>
      <c r="C5" s="15" t="s">
        <v>27</v>
      </c>
      <c r="D5" s="16"/>
      <c r="E5" s="16"/>
      <c r="F5" s="16"/>
      <c r="G5" s="16"/>
      <c r="H5" s="16"/>
      <c r="I5" s="16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7" t="s">
        <v>28</v>
      </c>
      <c r="B6" s="18">
        <v>2023.0</v>
      </c>
      <c r="C6" s="19">
        <f t="shared" ref="C6:L6" si="1">B6+1</f>
        <v>2024</v>
      </c>
      <c r="D6" s="19">
        <f t="shared" si="1"/>
        <v>2025</v>
      </c>
      <c r="E6" s="19">
        <f t="shared" si="1"/>
        <v>2026</v>
      </c>
      <c r="F6" s="19">
        <f t="shared" si="1"/>
        <v>2027</v>
      </c>
      <c r="G6" s="19">
        <f t="shared" si="1"/>
        <v>2028</v>
      </c>
      <c r="H6" s="19">
        <f t="shared" si="1"/>
        <v>2029</v>
      </c>
      <c r="I6" s="19">
        <f t="shared" si="1"/>
        <v>2030</v>
      </c>
      <c r="J6" s="19">
        <f t="shared" si="1"/>
        <v>2031</v>
      </c>
      <c r="K6" s="19">
        <f t="shared" si="1"/>
        <v>2032</v>
      </c>
      <c r="L6" s="19">
        <f t="shared" si="1"/>
        <v>2033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20" t="s">
        <v>29</v>
      </c>
      <c r="B7" s="21">
        <v>0.0</v>
      </c>
      <c r="C7" s="22">
        <v>1.0</v>
      </c>
      <c r="D7" s="22">
        <f t="shared" ref="D7:L7" si="2">C7+1</f>
        <v>2</v>
      </c>
      <c r="E7" s="22">
        <f t="shared" si="2"/>
        <v>3</v>
      </c>
      <c r="F7" s="22">
        <f t="shared" si="2"/>
        <v>4</v>
      </c>
      <c r="G7" s="22">
        <f t="shared" si="2"/>
        <v>5</v>
      </c>
      <c r="H7" s="22">
        <f t="shared" si="2"/>
        <v>6</v>
      </c>
      <c r="I7" s="22">
        <f t="shared" si="2"/>
        <v>7</v>
      </c>
      <c r="J7" s="22">
        <f t="shared" si="2"/>
        <v>8</v>
      </c>
      <c r="K7" s="22">
        <f t="shared" si="2"/>
        <v>9</v>
      </c>
      <c r="L7" s="22">
        <f t="shared" si="2"/>
        <v>10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0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9" t="s">
        <v>30</v>
      </c>
      <c r="B9" s="25">
        <f>'Enrollment &amp; Revenue'!B17</f>
        <v>0</v>
      </c>
      <c r="C9" s="26">
        <f>'Enrollment &amp; Revenue'!C17</f>
        <v>110</v>
      </c>
      <c r="D9" s="26">
        <f>'Enrollment &amp; Revenue'!D17</f>
        <v>228</v>
      </c>
      <c r="E9" s="26">
        <f>'Enrollment &amp; Revenue'!E17</f>
        <v>309</v>
      </c>
      <c r="F9" s="26">
        <f>'Enrollment &amp; Revenue'!F17</f>
        <v>399</v>
      </c>
      <c r="G9" s="26">
        <f>'Enrollment &amp; Revenue'!G17</f>
        <v>489</v>
      </c>
      <c r="H9" s="26">
        <f>'Enrollment &amp; Revenue'!H17</f>
        <v>579</v>
      </c>
      <c r="I9" s="26">
        <f>'Enrollment &amp; Revenue'!I17</f>
        <v>669</v>
      </c>
      <c r="J9" s="26">
        <f>'Enrollment &amp; Revenue'!J17</f>
        <v>669</v>
      </c>
      <c r="K9" s="26">
        <f>'Enrollment &amp; Revenue'!K17</f>
        <v>669</v>
      </c>
      <c r="L9" s="26">
        <f>'Enrollment &amp; Revenue'!L17</f>
        <v>669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9" t="s">
        <v>9</v>
      </c>
      <c r="B10" s="27">
        <f>'Enrollment &amp; Revenue'!B21</f>
        <v>701330.44</v>
      </c>
      <c r="C10" s="28">
        <f>'Enrollment &amp; Revenue'!C21</f>
        <v>2670544.816</v>
      </c>
      <c r="D10" s="28">
        <f>'Enrollment &amp; Revenue'!D21</f>
        <v>4574569.276</v>
      </c>
      <c r="E10" s="28">
        <f>'Enrollment &amp; Revenue'!E21</f>
        <v>5648732.492</v>
      </c>
      <c r="F10" s="28">
        <f>'Enrollment &amp; Revenue'!F21</f>
        <v>7294477.058</v>
      </c>
      <c r="G10" s="28">
        <f>'Enrollment &amp; Revenue'!G21</f>
        <v>9106024.751</v>
      </c>
      <c r="H10" s="28">
        <f>'Enrollment &amp; Revenue'!H21</f>
        <v>10985328.23</v>
      </c>
      <c r="I10" s="28">
        <f>'Enrollment &amp; Revenue'!I21</f>
        <v>12934391.96</v>
      </c>
      <c r="J10" s="28">
        <f>'Enrollment &amp; Revenue'!J21</f>
        <v>13185478.18</v>
      </c>
      <c r="K10" s="28">
        <f>'Enrollment &amp; Revenue'!K21</f>
        <v>13441586.13</v>
      </c>
      <c r="L10" s="28">
        <f>'Enrollment &amp; Revenue'!L21</f>
        <v>13702816.23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9" t="s">
        <v>31</v>
      </c>
      <c r="B11" s="23"/>
      <c r="C11" s="30">
        <f t="shared" ref="C11:L11" si="3">C10/C9</f>
        <v>24277.68015</v>
      </c>
      <c r="D11" s="30">
        <f t="shared" si="3"/>
        <v>20063.90033</v>
      </c>
      <c r="E11" s="30">
        <f t="shared" si="3"/>
        <v>18280.68767</v>
      </c>
      <c r="F11" s="30">
        <f t="shared" si="3"/>
        <v>18281.89739</v>
      </c>
      <c r="G11" s="30">
        <f t="shared" si="3"/>
        <v>18621.72751</v>
      </c>
      <c r="H11" s="30">
        <f t="shared" si="3"/>
        <v>18972.93305</v>
      </c>
      <c r="I11" s="30">
        <f t="shared" si="3"/>
        <v>19333.91922</v>
      </c>
      <c r="J11" s="30">
        <f t="shared" si="3"/>
        <v>19709.23495</v>
      </c>
      <c r="K11" s="30">
        <f t="shared" si="3"/>
        <v>20092.05699</v>
      </c>
      <c r="L11" s="30">
        <f t="shared" si="3"/>
        <v>20482.53548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10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31" t="s">
        <v>146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10"/>
      <c r="B14" s="44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9" t="s">
        <v>147</v>
      </c>
      <c r="B15" s="183">
        <f t="shared" ref="B15:L15" si="4">+B41</f>
        <v>600</v>
      </c>
      <c r="C15" s="184">
        <f t="shared" si="4"/>
        <v>262462.5926</v>
      </c>
      <c r="D15" s="184">
        <f t="shared" si="4"/>
        <v>405093.837</v>
      </c>
      <c r="E15" s="184">
        <f t="shared" si="4"/>
        <v>507835.053</v>
      </c>
      <c r="F15" s="184">
        <f t="shared" si="4"/>
        <v>631413.4156</v>
      </c>
      <c r="G15" s="184">
        <f t="shared" si="4"/>
        <v>735787.3821</v>
      </c>
      <c r="H15" s="184">
        <f t="shared" si="4"/>
        <v>848685.7725</v>
      </c>
      <c r="I15" s="184">
        <f t="shared" si="4"/>
        <v>955973.133</v>
      </c>
      <c r="J15" s="184">
        <f t="shared" si="4"/>
        <v>974960.5956</v>
      </c>
      <c r="K15" s="184">
        <f t="shared" si="4"/>
        <v>994327.8075</v>
      </c>
      <c r="L15" s="184">
        <f t="shared" si="4"/>
        <v>1014082.364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29" t="s">
        <v>148</v>
      </c>
      <c r="B16" s="112"/>
      <c r="C16" s="30">
        <f t="shared" ref="C16:L16" si="5">C15/C9</f>
        <v>2386.023569</v>
      </c>
      <c r="D16" s="30">
        <f t="shared" si="5"/>
        <v>1776.727355</v>
      </c>
      <c r="E16" s="30">
        <f t="shared" si="5"/>
        <v>1643.479136</v>
      </c>
      <c r="F16" s="30">
        <f t="shared" si="5"/>
        <v>1582.489763</v>
      </c>
      <c r="G16" s="30">
        <f t="shared" si="5"/>
        <v>1504.677673</v>
      </c>
      <c r="H16" s="30">
        <f t="shared" si="5"/>
        <v>1465.778536</v>
      </c>
      <c r="I16" s="30">
        <f t="shared" si="5"/>
        <v>1428.958345</v>
      </c>
      <c r="J16" s="30">
        <f t="shared" si="5"/>
        <v>1457.340203</v>
      </c>
      <c r="K16" s="30">
        <f t="shared" si="5"/>
        <v>1486.289697</v>
      </c>
      <c r="L16" s="30">
        <f t="shared" si="5"/>
        <v>1515.818182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29" t="s">
        <v>83</v>
      </c>
      <c r="B17" s="113">
        <f t="shared" ref="B17:L17" si="6">B15/B10</f>
        <v>0.0008555168374</v>
      </c>
      <c r="C17" s="114">
        <f t="shared" si="6"/>
        <v>0.09828054223</v>
      </c>
      <c r="D17" s="114">
        <f t="shared" si="6"/>
        <v>0.08855343807</v>
      </c>
      <c r="E17" s="114">
        <f t="shared" si="6"/>
        <v>0.08990247879</v>
      </c>
      <c r="F17" s="114">
        <f t="shared" si="6"/>
        <v>0.08656047727</v>
      </c>
      <c r="G17" s="114">
        <f t="shared" si="6"/>
        <v>0.08080226029</v>
      </c>
      <c r="H17" s="114">
        <f t="shared" si="6"/>
        <v>0.07725629626</v>
      </c>
      <c r="I17" s="114">
        <f t="shared" si="6"/>
        <v>0.07390939876</v>
      </c>
      <c r="J17" s="114">
        <f t="shared" si="6"/>
        <v>0.07394199757</v>
      </c>
      <c r="K17" s="114">
        <f t="shared" si="6"/>
        <v>0.0739739937</v>
      </c>
      <c r="L17" s="114">
        <f t="shared" si="6"/>
        <v>0.07400539761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29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9" t="s">
        <v>149</v>
      </c>
      <c r="B19" s="183">
        <f t="shared" ref="B19:L19" si="7">-B47-B48</f>
        <v>-210000</v>
      </c>
      <c r="C19" s="184">
        <f t="shared" si="7"/>
        <v>-325000</v>
      </c>
      <c r="D19" s="184">
        <f t="shared" si="7"/>
        <v>-40366.66667</v>
      </c>
      <c r="E19" s="184">
        <f t="shared" si="7"/>
        <v>-27111.11111</v>
      </c>
      <c r="F19" s="184">
        <f t="shared" si="7"/>
        <v>-8546.296296</v>
      </c>
      <c r="G19" s="184">
        <f t="shared" si="7"/>
        <v>-27074.40476</v>
      </c>
      <c r="H19" s="184">
        <f t="shared" si="7"/>
        <v>-6882.321429</v>
      </c>
      <c r="I19" s="184">
        <f t="shared" si="7"/>
        <v>-26207.32143</v>
      </c>
      <c r="J19" s="184">
        <f t="shared" si="7"/>
        <v>0</v>
      </c>
      <c r="K19" s="184">
        <f t="shared" si="7"/>
        <v>-20000</v>
      </c>
      <c r="L19" s="184">
        <f t="shared" si="7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0"/>
      <c r="B20" s="4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31" t="s">
        <v>150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29" t="s">
        <v>151</v>
      </c>
      <c r="B23" s="185">
        <v>75.0</v>
      </c>
      <c r="C23" s="186">
        <v>97.53086419753086</v>
      </c>
      <c r="D23" s="186">
        <v>77.36625514403292</v>
      </c>
      <c r="E23" s="186">
        <v>72.42798353909465</v>
      </c>
      <c r="F23" s="186">
        <v>70.37037037037037</v>
      </c>
      <c r="G23" s="186">
        <v>67.06349206349206</v>
      </c>
      <c r="H23" s="186">
        <f t="shared" ref="H23:I23" si="8">+G23-2.5</f>
        <v>64.56349206</v>
      </c>
      <c r="I23" s="186">
        <f t="shared" si="8"/>
        <v>62.06349206</v>
      </c>
      <c r="J23" s="186">
        <f t="shared" ref="J23:L23" si="9">+I23</f>
        <v>62.06349206</v>
      </c>
      <c r="K23" s="186">
        <f t="shared" si="9"/>
        <v>62.06349206</v>
      </c>
      <c r="L23" s="186">
        <f t="shared" si="9"/>
        <v>62.06349206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187" t="s">
        <v>152</v>
      </c>
      <c r="B24" s="188">
        <f t="shared" ref="B24:L24" si="10">B9*B23</f>
        <v>0</v>
      </c>
      <c r="C24" s="189">
        <f t="shared" si="10"/>
        <v>10728.39506</v>
      </c>
      <c r="D24" s="189">
        <f t="shared" si="10"/>
        <v>17639.50617</v>
      </c>
      <c r="E24" s="189">
        <f t="shared" si="10"/>
        <v>22380.24691</v>
      </c>
      <c r="F24" s="189">
        <f t="shared" si="10"/>
        <v>28077.77778</v>
      </c>
      <c r="G24" s="189">
        <f t="shared" si="10"/>
        <v>32794.04762</v>
      </c>
      <c r="H24" s="189">
        <f t="shared" si="10"/>
        <v>37382.2619</v>
      </c>
      <c r="I24" s="189">
        <f t="shared" si="10"/>
        <v>41520.47619</v>
      </c>
      <c r="J24" s="189">
        <f t="shared" si="10"/>
        <v>41520.47619</v>
      </c>
      <c r="K24" s="189">
        <f t="shared" si="10"/>
        <v>41520.47619</v>
      </c>
      <c r="L24" s="189">
        <f t="shared" si="10"/>
        <v>41520.47619</v>
      </c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ht="15.75" customHeight="1">
      <c r="A25" s="9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10" t="s">
        <v>153</v>
      </c>
      <c r="B26" s="146">
        <v>0.0</v>
      </c>
      <c r="C26" s="190">
        <v>165000.0</v>
      </c>
      <c r="D26" s="170">
        <f t="shared" ref="D26:L26" si="11">D24*D27</f>
        <v>264592.5926</v>
      </c>
      <c r="E26" s="147">
        <f t="shared" si="11"/>
        <v>335703.7037</v>
      </c>
      <c r="F26" s="147">
        <f t="shared" si="11"/>
        <v>421166.6667</v>
      </c>
      <c r="G26" s="147">
        <f t="shared" si="11"/>
        <v>491910.7143</v>
      </c>
      <c r="H26" s="147">
        <f t="shared" si="11"/>
        <v>571948.6071</v>
      </c>
      <c r="I26" s="147">
        <f t="shared" si="11"/>
        <v>647968.5514</v>
      </c>
      <c r="J26" s="147">
        <f t="shared" si="11"/>
        <v>660927.9225</v>
      </c>
      <c r="K26" s="147">
        <f t="shared" si="11"/>
        <v>674146.4809</v>
      </c>
      <c r="L26" s="147">
        <f t="shared" si="11"/>
        <v>687629.4105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87" t="s">
        <v>154</v>
      </c>
      <c r="B27" s="191"/>
      <c r="C27" s="192">
        <f>C26/C24</f>
        <v>15.37974684</v>
      </c>
      <c r="D27" s="192">
        <v>15.0</v>
      </c>
      <c r="E27" s="192">
        <v>15.0</v>
      </c>
      <c r="F27" s="192">
        <v>15.0</v>
      </c>
      <c r="G27" s="192">
        <v>15.0</v>
      </c>
      <c r="H27" s="192">
        <f t="shared" ref="H27:L27" si="12">+G27*1.02</f>
        <v>15.3</v>
      </c>
      <c r="I27" s="192">
        <f t="shared" si="12"/>
        <v>15.606</v>
      </c>
      <c r="J27" s="192">
        <f t="shared" si="12"/>
        <v>15.91812</v>
      </c>
      <c r="K27" s="192">
        <f t="shared" si="12"/>
        <v>16.2364824</v>
      </c>
      <c r="L27" s="192">
        <f t="shared" si="12"/>
        <v>16.56121205</v>
      </c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ht="15.75" customHeight="1">
      <c r="A28" s="120" t="s">
        <v>155</v>
      </c>
      <c r="B28" s="146">
        <f t="shared" ref="B28:L28" si="13">B29*B24</f>
        <v>0</v>
      </c>
      <c r="C28" s="147">
        <f t="shared" si="13"/>
        <v>38085.80247</v>
      </c>
      <c r="D28" s="147">
        <f t="shared" si="13"/>
        <v>63872.65185</v>
      </c>
      <c r="E28" s="147">
        <f t="shared" si="13"/>
        <v>82659.65156</v>
      </c>
      <c r="F28" s="147">
        <f t="shared" si="13"/>
        <v>105777.0865</v>
      </c>
      <c r="G28" s="147">
        <f t="shared" si="13"/>
        <v>126015.5279</v>
      </c>
      <c r="H28" s="147">
        <f t="shared" si="13"/>
        <v>146519.284</v>
      </c>
      <c r="I28" s="147">
        <f t="shared" si="13"/>
        <v>165993.7397</v>
      </c>
      <c r="J28" s="147">
        <f t="shared" si="13"/>
        <v>169313.6145</v>
      </c>
      <c r="K28" s="147">
        <f t="shared" si="13"/>
        <v>172699.8868</v>
      </c>
      <c r="L28" s="147">
        <f t="shared" si="13"/>
        <v>176153.8845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93" t="s">
        <v>156</v>
      </c>
      <c r="B29" s="194"/>
      <c r="C29" s="195">
        <v>3.55</v>
      </c>
      <c r="D29" s="195">
        <f t="shared" ref="D29:L29" si="14">+C29*1.02</f>
        <v>3.621</v>
      </c>
      <c r="E29" s="195">
        <f t="shared" si="14"/>
        <v>3.69342</v>
      </c>
      <c r="F29" s="195">
        <f t="shared" si="14"/>
        <v>3.7672884</v>
      </c>
      <c r="G29" s="195">
        <f t="shared" si="14"/>
        <v>3.842634168</v>
      </c>
      <c r="H29" s="195">
        <f t="shared" si="14"/>
        <v>3.919486851</v>
      </c>
      <c r="I29" s="195">
        <f t="shared" si="14"/>
        <v>3.997876588</v>
      </c>
      <c r="J29" s="195">
        <f t="shared" si="14"/>
        <v>4.07783412</v>
      </c>
      <c r="K29" s="195">
        <f t="shared" si="14"/>
        <v>4.159390803</v>
      </c>
      <c r="L29" s="195">
        <f t="shared" si="14"/>
        <v>4.242578619</v>
      </c>
      <c r="M29" s="79"/>
      <c r="N29" s="195">
        <v>5.0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ht="15.75" customHeight="1">
      <c r="A30" s="10" t="s">
        <v>157</v>
      </c>
      <c r="B30" s="146">
        <v>0.0</v>
      </c>
      <c r="C30" s="147">
        <f t="shared" ref="C30:L30" si="15">C31*C24</f>
        <v>21456.79012</v>
      </c>
      <c r="D30" s="147">
        <f t="shared" si="15"/>
        <v>35984.59259</v>
      </c>
      <c r="E30" s="147">
        <f t="shared" si="15"/>
        <v>46568.81778</v>
      </c>
      <c r="F30" s="147">
        <f t="shared" si="15"/>
        <v>59592.7248</v>
      </c>
      <c r="G30" s="147">
        <f t="shared" si="15"/>
        <v>70994.6636</v>
      </c>
      <c r="H30" s="147">
        <f t="shared" si="15"/>
        <v>82546.0755</v>
      </c>
      <c r="I30" s="147">
        <f t="shared" si="15"/>
        <v>93517.59983</v>
      </c>
      <c r="J30" s="147">
        <f t="shared" si="15"/>
        <v>95387.95183</v>
      </c>
      <c r="K30" s="147">
        <f t="shared" si="15"/>
        <v>97295.71086</v>
      </c>
      <c r="L30" s="147">
        <f t="shared" si="15"/>
        <v>99241.62508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29" t="s">
        <v>158</v>
      </c>
      <c r="B31" s="196"/>
      <c r="C31" s="197">
        <v>2.0</v>
      </c>
      <c r="D31" s="197">
        <f t="shared" ref="D31:L31" si="16">+C31*1.02</f>
        <v>2.04</v>
      </c>
      <c r="E31" s="197">
        <f t="shared" si="16"/>
        <v>2.0808</v>
      </c>
      <c r="F31" s="197">
        <f t="shared" si="16"/>
        <v>2.122416</v>
      </c>
      <c r="G31" s="197">
        <f t="shared" si="16"/>
        <v>2.16486432</v>
      </c>
      <c r="H31" s="197">
        <f t="shared" si="16"/>
        <v>2.208161606</v>
      </c>
      <c r="I31" s="197">
        <f t="shared" si="16"/>
        <v>2.252324839</v>
      </c>
      <c r="J31" s="197">
        <f t="shared" si="16"/>
        <v>2.297371335</v>
      </c>
      <c r="K31" s="197">
        <f t="shared" si="16"/>
        <v>2.343318762</v>
      </c>
      <c r="L31" s="197">
        <f t="shared" si="16"/>
        <v>2.390185137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 t="s">
        <v>159</v>
      </c>
      <c r="B32" s="138">
        <v>0.0</v>
      </c>
      <c r="C32" s="85">
        <v>18000.0</v>
      </c>
      <c r="D32" s="170">
        <f t="shared" ref="D32:L32" si="17">+C32*(1+D33)</f>
        <v>18360</v>
      </c>
      <c r="E32" s="170">
        <f t="shared" si="17"/>
        <v>18727.2</v>
      </c>
      <c r="F32" s="170">
        <f t="shared" si="17"/>
        <v>19101.744</v>
      </c>
      <c r="G32" s="170">
        <f t="shared" si="17"/>
        <v>19483.77888</v>
      </c>
      <c r="H32" s="170">
        <f t="shared" si="17"/>
        <v>19873.45446</v>
      </c>
      <c r="I32" s="170">
        <f t="shared" si="17"/>
        <v>20270.92355</v>
      </c>
      <c r="J32" s="170">
        <f t="shared" si="17"/>
        <v>20676.34202</v>
      </c>
      <c r="K32" s="170">
        <f t="shared" si="17"/>
        <v>21089.86886</v>
      </c>
      <c r="L32" s="170">
        <f t="shared" si="17"/>
        <v>21511.66624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29" t="s">
        <v>160</v>
      </c>
      <c r="B33" s="198"/>
      <c r="C33" s="199"/>
      <c r="D33" s="71">
        <v>0.02</v>
      </c>
      <c r="E33" s="71">
        <v>0.02</v>
      </c>
      <c r="F33" s="71">
        <v>0.02</v>
      </c>
      <c r="G33" s="71">
        <v>0.02</v>
      </c>
      <c r="H33" s="71">
        <v>0.02</v>
      </c>
      <c r="I33" s="71">
        <v>0.02</v>
      </c>
      <c r="J33" s="71">
        <v>0.02</v>
      </c>
      <c r="K33" s="71">
        <v>0.02</v>
      </c>
      <c r="L33" s="71">
        <v>0.02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76" t="s">
        <v>161</v>
      </c>
      <c r="B34" s="172">
        <v>600.0</v>
      </c>
      <c r="C34" s="173">
        <f>SUM('Staff &amp; Personnel Expenses'!C27:C32)*20*12</f>
        <v>720</v>
      </c>
      <c r="D34" s="173">
        <f>SUM('Staff &amp; Personnel Expenses'!D27:D32)*50*12</f>
        <v>2700</v>
      </c>
      <c r="E34" s="173">
        <f>SUM('Staff &amp; Personnel Expenses'!E27:E32)*50*12</f>
        <v>4200</v>
      </c>
      <c r="F34" s="173">
        <f>SUM('Staff &amp; Personnel Expenses'!F27:F32)*50*12</f>
        <v>5400</v>
      </c>
      <c r="G34" s="173">
        <f>SUM('Staff &amp; Personnel Expenses'!G27:G32)*50*12</f>
        <v>6600</v>
      </c>
      <c r="H34" s="173">
        <f>SUM('Staff &amp; Personnel Expenses'!H27:H32)*50*12</f>
        <v>6600</v>
      </c>
      <c r="I34" s="173">
        <f>SUM('Staff &amp; Personnel Expenses'!I27:I32)*50*12</f>
        <v>6600</v>
      </c>
      <c r="J34" s="173">
        <f>SUM('Staff &amp; Personnel Expenses'!J27:J32)*50*12</f>
        <v>6600</v>
      </c>
      <c r="K34" s="173">
        <f>SUM('Staff &amp; Personnel Expenses'!K27:K32)*50*12</f>
        <v>6600</v>
      </c>
      <c r="L34" s="173">
        <f>SUM('Staff &amp; Personnel Expenses'!L27:L32)*50*12</f>
        <v>6600</v>
      </c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ht="15.75" customHeight="1">
      <c r="A35" s="29" t="s">
        <v>160</v>
      </c>
      <c r="B35" s="198"/>
      <c r="C35" s="199"/>
      <c r="D35" s="71">
        <v>0.02</v>
      </c>
      <c r="E35" s="71">
        <v>0.02</v>
      </c>
      <c r="F35" s="71">
        <v>0.02</v>
      </c>
      <c r="G35" s="71">
        <v>0.02</v>
      </c>
      <c r="H35" s="71">
        <v>0.02</v>
      </c>
      <c r="I35" s="71">
        <v>0.02</v>
      </c>
      <c r="J35" s="71">
        <v>0.02</v>
      </c>
      <c r="K35" s="71">
        <v>0.02</v>
      </c>
      <c r="L35" s="71">
        <v>0.02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79" t="s">
        <v>162</v>
      </c>
      <c r="B36" s="80">
        <v>0.0</v>
      </c>
      <c r="C36" s="200">
        <f>1600*12</f>
        <v>19200</v>
      </c>
      <c r="D36" s="200">
        <f t="shared" ref="D36:L36" si="18">+C36*(1+D37)</f>
        <v>19584</v>
      </c>
      <c r="E36" s="200">
        <f t="shared" si="18"/>
        <v>19975.68</v>
      </c>
      <c r="F36" s="200">
        <f t="shared" si="18"/>
        <v>20375.1936</v>
      </c>
      <c r="G36" s="200">
        <f t="shared" si="18"/>
        <v>20782.69747</v>
      </c>
      <c r="H36" s="200">
        <f t="shared" si="18"/>
        <v>21198.35142</v>
      </c>
      <c r="I36" s="200">
        <f t="shared" si="18"/>
        <v>21622.31845</v>
      </c>
      <c r="J36" s="200">
        <f t="shared" si="18"/>
        <v>22054.76482</v>
      </c>
      <c r="K36" s="200">
        <f t="shared" si="18"/>
        <v>22495.86012</v>
      </c>
      <c r="L36" s="200">
        <f t="shared" si="18"/>
        <v>22945.77732</v>
      </c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ht="15.75" customHeight="1">
      <c r="A37" s="29" t="s">
        <v>160</v>
      </c>
      <c r="B37" s="198"/>
      <c r="C37" s="199"/>
      <c r="D37" s="71">
        <v>0.02</v>
      </c>
      <c r="E37" s="71">
        <v>0.02</v>
      </c>
      <c r="F37" s="71">
        <v>0.02</v>
      </c>
      <c r="G37" s="71">
        <v>0.02</v>
      </c>
      <c r="H37" s="71">
        <v>0.02</v>
      </c>
      <c r="I37" s="71">
        <v>0.02</v>
      </c>
      <c r="J37" s="71">
        <v>0.02</v>
      </c>
      <c r="K37" s="71">
        <v>0.02</v>
      </c>
      <c r="L37" s="71">
        <v>0.02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29"/>
      <c r="B38" s="201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0" t="s">
        <v>163</v>
      </c>
      <c r="B39" s="84">
        <v>0.0</v>
      </c>
      <c r="C39" s="91">
        <v>0.0</v>
      </c>
      <c r="D39" s="91">
        <v>0.0</v>
      </c>
      <c r="E39" s="91">
        <v>0.0</v>
      </c>
      <c r="F39" s="91">
        <v>0.0</v>
      </c>
      <c r="G39" s="91">
        <v>0.0</v>
      </c>
      <c r="H39" s="91">
        <v>0.0</v>
      </c>
      <c r="I39" s="91">
        <v>0.0</v>
      </c>
      <c r="J39" s="91">
        <v>0.0</v>
      </c>
      <c r="K39" s="91">
        <v>0.0</v>
      </c>
      <c r="L39" s="91">
        <v>0.0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10"/>
      <c r="B40" s="84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36" t="s">
        <v>147</v>
      </c>
      <c r="B41" s="203">
        <f t="shared" ref="B41:L41" si="19">B26+B28+B30+B32+B34+B36+B39</f>
        <v>600</v>
      </c>
      <c r="C41" s="204">
        <f t="shared" si="19"/>
        <v>262462.5926</v>
      </c>
      <c r="D41" s="204">
        <f t="shared" si="19"/>
        <v>405093.837</v>
      </c>
      <c r="E41" s="204">
        <f t="shared" si="19"/>
        <v>507835.053</v>
      </c>
      <c r="F41" s="204">
        <f t="shared" si="19"/>
        <v>631413.4156</v>
      </c>
      <c r="G41" s="204">
        <f t="shared" si="19"/>
        <v>735787.3821</v>
      </c>
      <c r="H41" s="204">
        <f t="shared" si="19"/>
        <v>848685.7725</v>
      </c>
      <c r="I41" s="204">
        <f t="shared" si="19"/>
        <v>955973.133</v>
      </c>
      <c r="J41" s="204">
        <f t="shared" si="19"/>
        <v>974960.5956</v>
      </c>
      <c r="K41" s="204">
        <f t="shared" si="19"/>
        <v>994327.8075</v>
      </c>
      <c r="L41" s="204">
        <f t="shared" si="19"/>
        <v>1014082.364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29" t="s">
        <v>141</v>
      </c>
      <c r="B42" s="112"/>
      <c r="C42" s="30">
        <f>C41/'Enrollment &amp; Revenue'!C17</f>
        <v>2386.023569</v>
      </c>
      <c r="D42" s="30">
        <f>D41/'Enrollment &amp; Revenue'!D17</f>
        <v>1776.727355</v>
      </c>
      <c r="E42" s="30">
        <f>E41/'Enrollment &amp; Revenue'!E17</f>
        <v>1643.479136</v>
      </c>
      <c r="F42" s="30">
        <f>F41/'Enrollment &amp; Revenue'!F17</f>
        <v>1582.489763</v>
      </c>
      <c r="G42" s="30">
        <f>G41/'Enrollment &amp; Revenue'!G17</f>
        <v>1504.677673</v>
      </c>
      <c r="H42" s="30">
        <f>H41/'Enrollment &amp; Revenue'!H17</f>
        <v>1465.778536</v>
      </c>
      <c r="I42" s="30">
        <f>I41/'Enrollment &amp; Revenue'!I17</f>
        <v>1428.958345</v>
      </c>
      <c r="J42" s="30">
        <f>J41/'Enrollment &amp; Revenue'!J17</f>
        <v>1457.340203</v>
      </c>
      <c r="K42" s="30">
        <f>K41/'Enrollment &amp; Revenue'!K17</f>
        <v>1486.289697</v>
      </c>
      <c r="L42" s="30">
        <f>L41/'Enrollment &amp; Revenue'!L17</f>
        <v>1515.818182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77" t="s">
        <v>83</v>
      </c>
      <c r="B43" s="180">
        <f>+B41/'Enrollment &amp; Revenue'!B21</f>
        <v>0.0008555168374</v>
      </c>
      <c r="C43" s="181">
        <f>+C41/'Enrollment &amp; Revenue'!C21</f>
        <v>0.09828054223</v>
      </c>
      <c r="D43" s="181">
        <f>+D41/'Enrollment &amp; Revenue'!D21</f>
        <v>0.08855343807</v>
      </c>
      <c r="E43" s="181">
        <f>+E41/'Enrollment &amp; Revenue'!E21</f>
        <v>0.08990247879</v>
      </c>
      <c r="F43" s="181">
        <f>+F41/'Enrollment &amp; Revenue'!F21</f>
        <v>0.08656047727</v>
      </c>
      <c r="G43" s="181">
        <f>+G41/'Enrollment &amp; Revenue'!G21</f>
        <v>0.08080226029</v>
      </c>
      <c r="H43" s="181">
        <f>+H41/'Enrollment &amp; Revenue'!H21</f>
        <v>0.07725629626</v>
      </c>
      <c r="I43" s="181">
        <f>+I41/'Enrollment &amp; Revenue'!I21</f>
        <v>0.07390939876</v>
      </c>
      <c r="J43" s="181">
        <f>+J41/'Enrollment &amp; Revenue'!J21</f>
        <v>0.07394199757</v>
      </c>
      <c r="K43" s="181">
        <f>+K41/'Enrollment &amp; Revenue'!K21</f>
        <v>0.0739739937</v>
      </c>
      <c r="L43" s="181">
        <f>+L41/'Enrollment &amp; Revenue'!L21</f>
        <v>0.07400539761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10"/>
      <c r="B44" s="4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31" t="s">
        <v>164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10"/>
      <c r="B46" s="4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0" t="s">
        <v>165</v>
      </c>
      <c r="B47" s="205">
        <v>210000.0</v>
      </c>
      <c r="C47" s="91">
        <f>190000+135000</f>
        <v>325000</v>
      </c>
      <c r="D47" s="206">
        <f>(D24-C24)*1.5+30000</f>
        <v>40366.66667</v>
      </c>
      <c r="E47" s="206">
        <f>(E24-D24)*1.5+20000</f>
        <v>27111.11111</v>
      </c>
      <c r="F47" s="206">
        <f>(F24-E24)*1.5</f>
        <v>8546.296296</v>
      </c>
      <c r="G47" s="206">
        <f>(G24-F24)*1.5+20000</f>
        <v>27074.40476</v>
      </c>
      <c r="H47" s="206">
        <f>(H24-G24)*1.5</f>
        <v>6882.321429</v>
      </c>
      <c r="I47" s="206">
        <f>(I24-H24)*1.5+20000</f>
        <v>26207.32143</v>
      </c>
      <c r="J47" s="206">
        <v>0.0</v>
      </c>
      <c r="K47" s="206">
        <f>(K24-J24)*1.5+20000</f>
        <v>20000</v>
      </c>
      <c r="L47" s="206">
        <v>0.0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0" t="s">
        <v>166</v>
      </c>
      <c r="B48" s="207">
        <v>0.0</v>
      </c>
      <c r="C48" s="208">
        <v>0.0</v>
      </c>
      <c r="D48" s="147">
        <v>0.0</v>
      </c>
      <c r="E48" s="147">
        <v>0.0</v>
      </c>
      <c r="F48" s="147">
        <v>0.0</v>
      </c>
      <c r="G48" s="147">
        <v>0.0</v>
      </c>
      <c r="H48" s="147">
        <v>0.0</v>
      </c>
      <c r="I48" s="147">
        <v>0.0</v>
      </c>
      <c r="J48" s="147">
        <v>0.0</v>
      </c>
      <c r="K48" s="147">
        <v>0.0</v>
      </c>
      <c r="L48" s="147">
        <v>0.0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0"/>
      <c r="B49" s="4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31" t="s">
        <v>167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0"/>
      <c r="B51" s="4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 t="s">
        <v>168</v>
      </c>
      <c r="B52" s="207">
        <v>0.0</v>
      </c>
      <c r="C52" s="147">
        <f t="shared" ref="C52:L52" si="20">B55</f>
        <v>0</v>
      </c>
      <c r="D52" s="147">
        <f t="shared" si="20"/>
        <v>0</v>
      </c>
      <c r="E52" s="147">
        <f t="shared" si="20"/>
        <v>0</v>
      </c>
      <c r="F52" s="147">
        <f t="shared" si="20"/>
        <v>0</v>
      </c>
      <c r="G52" s="147">
        <f t="shared" si="20"/>
        <v>0</v>
      </c>
      <c r="H52" s="147">
        <f t="shared" si="20"/>
        <v>0</v>
      </c>
      <c r="I52" s="147">
        <f t="shared" si="20"/>
        <v>0</v>
      </c>
      <c r="J52" s="147">
        <f t="shared" si="20"/>
        <v>0</v>
      </c>
      <c r="K52" s="147">
        <f t="shared" si="20"/>
        <v>0</v>
      </c>
      <c r="L52" s="147">
        <f t="shared" si="20"/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45" t="s">
        <v>169</v>
      </c>
      <c r="B53" s="49">
        <v>0.0</v>
      </c>
      <c r="C53" s="50">
        <v>0.0</v>
      </c>
      <c r="D53" s="50">
        <v>0.0</v>
      </c>
      <c r="E53" s="50">
        <v>0.0</v>
      </c>
      <c r="F53" s="50">
        <v>0.0</v>
      </c>
      <c r="G53" s="50">
        <v>0.0</v>
      </c>
      <c r="H53" s="50">
        <v>0.0</v>
      </c>
      <c r="I53" s="50">
        <v>0.0</v>
      </c>
      <c r="J53" s="50">
        <v>0.0</v>
      </c>
      <c r="K53" s="50">
        <v>0.0</v>
      </c>
      <c r="L53" s="50">
        <v>0.0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45" t="s">
        <v>170</v>
      </c>
      <c r="B54" s="49">
        <v>0.0</v>
      </c>
      <c r="C54" s="50">
        <v>0.0</v>
      </c>
      <c r="D54" s="50">
        <v>0.0</v>
      </c>
      <c r="E54" s="50">
        <v>0.0</v>
      </c>
      <c r="F54" s="50">
        <v>0.0</v>
      </c>
      <c r="G54" s="50">
        <v>0.0</v>
      </c>
      <c r="H54" s="50">
        <v>0.0</v>
      </c>
      <c r="I54" s="50">
        <v>0.0</v>
      </c>
      <c r="J54" s="50">
        <v>0.0</v>
      </c>
      <c r="K54" s="50">
        <v>0.0</v>
      </c>
      <c r="L54" s="50">
        <v>0.0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 t="s">
        <v>171</v>
      </c>
      <c r="B55" s="146">
        <f t="shared" ref="B55:L55" si="21">SUM(B52:B54)</f>
        <v>0</v>
      </c>
      <c r="C55" s="147">
        <f t="shared" si="21"/>
        <v>0</v>
      </c>
      <c r="D55" s="147">
        <f t="shared" si="21"/>
        <v>0</v>
      </c>
      <c r="E55" s="147">
        <f t="shared" si="21"/>
        <v>0</v>
      </c>
      <c r="F55" s="147">
        <f t="shared" si="21"/>
        <v>0</v>
      </c>
      <c r="G55" s="147">
        <f t="shared" si="21"/>
        <v>0</v>
      </c>
      <c r="H55" s="147">
        <f t="shared" si="21"/>
        <v>0</v>
      </c>
      <c r="I55" s="147">
        <f t="shared" si="21"/>
        <v>0</v>
      </c>
      <c r="J55" s="147">
        <f t="shared" si="21"/>
        <v>0</v>
      </c>
      <c r="K55" s="147">
        <f t="shared" si="21"/>
        <v>0</v>
      </c>
      <c r="L55" s="147">
        <f t="shared" si="21"/>
        <v>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/>
      <c r="B56" s="146"/>
      <c r="C56" s="208"/>
      <c r="D56" s="147"/>
      <c r="E56" s="147"/>
      <c r="F56" s="147"/>
      <c r="G56" s="147"/>
      <c r="H56" s="147"/>
      <c r="I56" s="147"/>
      <c r="J56" s="147"/>
      <c r="K56" s="147"/>
      <c r="L56" s="14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 t="s">
        <v>172</v>
      </c>
      <c r="B57" s="146">
        <f t="shared" ref="B57:L57" si="22">AVERAGE(B52,B55)</f>
        <v>0</v>
      </c>
      <c r="C57" s="147">
        <f t="shared" si="22"/>
        <v>0</v>
      </c>
      <c r="D57" s="147">
        <f t="shared" si="22"/>
        <v>0</v>
      </c>
      <c r="E57" s="147">
        <f t="shared" si="22"/>
        <v>0</v>
      </c>
      <c r="F57" s="147">
        <f t="shared" si="22"/>
        <v>0</v>
      </c>
      <c r="G57" s="147">
        <f t="shared" si="22"/>
        <v>0</v>
      </c>
      <c r="H57" s="147">
        <f t="shared" si="22"/>
        <v>0</v>
      </c>
      <c r="I57" s="147">
        <f t="shared" si="22"/>
        <v>0</v>
      </c>
      <c r="J57" s="147">
        <f t="shared" si="22"/>
        <v>0</v>
      </c>
      <c r="K57" s="147">
        <f t="shared" si="22"/>
        <v>0</v>
      </c>
      <c r="L57" s="147">
        <f t="shared" si="22"/>
        <v>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29" t="s">
        <v>173</v>
      </c>
      <c r="B58" s="209">
        <v>0.05</v>
      </c>
      <c r="C58" s="160">
        <v>0.05</v>
      </c>
      <c r="D58" s="160">
        <v>0.05</v>
      </c>
      <c r="E58" s="160">
        <v>0.05</v>
      </c>
      <c r="F58" s="160">
        <v>0.05</v>
      </c>
      <c r="G58" s="160">
        <v>0.05</v>
      </c>
      <c r="H58" s="160">
        <v>0.05</v>
      </c>
      <c r="I58" s="160">
        <v>0.05</v>
      </c>
      <c r="J58" s="160">
        <v>0.05</v>
      </c>
      <c r="K58" s="160">
        <v>0.05</v>
      </c>
      <c r="L58" s="160">
        <v>0.05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5:L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3864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0.88"/>
    <col customWidth="1" min="2" max="12" width="13.63"/>
    <col customWidth="1" min="13" max="14" width="7.63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5.75" customHeight="1">
      <c r="A2" s="11" t="s">
        <v>174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3"/>
      <c r="B5" s="14" t="s">
        <v>26</v>
      </c>
      <c r="C5" s="15" t="s">
        <v>27</v>
      </c>
      <c r="D5" s="16"/>
      <c r="E5" s="16"/>
      <c r="F5" s="16"/>
      <c r="G5" s="16"/>
      <c r="H5" s="16"/>
      <c r="I5" s="16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7" t="s">
        <v>28</v>
      </c>
      <c r="B6" s="18">
        <v>2023.0</v>
      </c>
      <c r="C6" s="19">
        <f t="shared" ref="C6:L6" si="1">B6+1</f>
        <v>2024</v>
      </c>
      <c r="D6" s="19">
        <f t="shared" si="1"/>
        <v>2025</v>
      </c>
      <c r="E6" s="19">
        <f t="shared" si="1"/>
        <v>2026</v>
      </c>
      <c r="F6" s="19">
        <f t="shared" si="1"/>
        <v>2027</v>
      </c>
      <c r="G6" s="19">
        <f t="shared" si="1"/>
        <v>2028</v>
      </c>
      <c r="H6" s="19">
        <f t="shared" si="1"/>
        <v>2029</v>
      </c>
      <c r="I6" s="19">
        <f t="shared" si="1"/>
        <v>2030</v>
      </c>
      <c r="J6" s="19">
        <f t="shared" si="1"/>
        <v>2031</v>
      </c>
      <c r="K6" s="19">
        <f t="shared" si="1"/>
        <v>2032</v>
      </c>
      <c r="L6" s="19">
        <f t="shared" si="1"/>
        <v>2033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20" t="s">
        <v>29</v>
      </c>
      <c r="B7" s="21">
        <v>0.0</v>
      </c>
      <c r="C7" s="22">
        <v>1.0</v>
      </c>
      <c r="D7" s="22">
        <f t="shared" ref="D7:L7" si="2">C7+1</f>
        <v>2</v>
      </c>
      <c r="E7" s="22">
        <f t="shared" si="2"/>
        <v>3</v>
      </c>
      <c r="F7" s="22">
        <f t="shared" si="2"/>
        <v>4</v>
      </c>
      <c r="G7" s="22">
        <f t="shared" si="2"/>
        <v>5</v>
      </c>
      <c r="H7" s="22">
        <f t="shared" si="2"/>
        <v>6</v>
      </c>
      <c r="I7" s="22">
        <f t="shared" si="2"/>
        <v>7</v>
      </c>
      <c r="J7" s="22">
        <f t="shared" si="2"/>
        <v>8</v>
      </c>
      <c r="K7" s="22">
        <f t="shared" si="2"/>
        <v>9</v>
      </c>
      <c r="L7" s="22">
        <f t="shared" si="2"/>
        <v>10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0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9" t="s">
        <v>30</v>
      </c>
      <c r="B9" s="25">
        <f>'Enrollment &amp; Revenue'!B17</f>
        <v>0</v>
      </c>
      <c r="C9" s="26">
        <f>'Enrollment &amp; Revenue'!C17</f>
        <v>110</v>
      </c>
      <c r="D9" s="26">
        <f>'Enrollment &amp; Revenue'!D17</f>
        <v>228</v>
      </c>
      <c r="E9" s="26">
        <f>'Enrollment &amp; Revenue'!E17</f>
        <v>309</v>
      </c>
      <c r="F9" s="26">
        <f>'Enrollment &amp; Revenue'!F17</f>
        <v>399</v>
      </c>
      <c r="G9" s="26">
        <f>'Enrollment &amp; Revenue'!G17</f>
        <v>489</v>
      </c>
      <c r="H9" s="26">
        <f>'Enrollment &amp; Revenue'!H17</f>
        <v>579</v>
      </c>
      <c r="I9" s="26">
        <f>'Enrollment &amp; Revenue'!I17</f>
        <v>669</v>
      </c>
      <c r="J9" s="26">
        <f>'Enrollment &amp; Revenue'!J17</f>
        <v>669</v>
      </c>
      <c r="K9" s="26">
        <f>'Enrollment &amp; Revenue'!K17</f>
        <v>669</v>
      </c>
      <c r="L9" s="26">
        <f>'Enrollment &amp; Revenue'!L17</f>
        <v>669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9" t="s">
        <v>9</v>
      </c>
      <c r="B10" s="27">
        <f>'Enrollment &amp; Revenue'!B21</f>
        <v>701330.44</v>
      </c>
      <c r="C10" s="28">
        <f>'Enrollment &amp; Revenue'!C21</f>
        <v>2670544.816</v>
      </c>
      <c r="D10" s="28">
        <f>'Enrollment &amp; Revenue'!D21</f>
        <v>4574569.276</v>
      </c>
      <c r="E10" s="28">
        <f>'Enrollment &amp; Revenue'!E21</f>
        <v>5648732.492</v>
      </c>
      <c r="F10" s="28">
        <f>'Enrollment &amp; Revenue'!F21</f>
        <v>7294477.058</v>
      </c>
      <c r="G10" s="28">
        <f>'Enrollment &amp; Revenue'!G21</f>
        <v>9106024.751</v>
      </c>
      <c r="H10" s="28">
        <f>'Enrollment &amp; Revenue'!H21</f>
        <v>10985328.23</v>
      </c>
      <c r="I10" s="28">
        <f>'Enrollment &amp; Revenue'!I21</f>
        <v>12934391.96</v>
      </c>
      <c r="J10" s="28">
        <f>'Enrollment &amp; Revenue'!J21</f>
        <v>13185478.18</v>
      </c>
      <c r="K10" s="28">
        <f>'Enrollment &amp; Revenue'!K21</f>
        <v>13441586.13</v>
      </c>
      <c r="L10" s="28">
        <f>'Enrollment &amp; Revenue'!L21</f>
        <v>13702816.23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9" t="s">
        <v>31</v>
      </c>
      <c r="B11" s="23"/>
      <c r="C11" s="30">
        <f t="shared" ref="C11:L11" si="3">C10/C9</f>
        <v>24277.68015</v>
      </c>
      <c r="D11" s="30">
        <f t="shared" si="3"/>
        <v>20063.90033</v>
      </c>
      <c r="E11" s="30">
        <f t="shared" si="3"/>
        <v>18280.68767</v>
      </c>
      <c r="F11" s="30">
        <f t="shared" si="3"/>
        <v>18281.89739</v>
      </c>
      <c r="G11" s="30">
        <f t="shared" si="3"/>
        <v>18621.72751</v>
      </c>
      <c r="H11" s="30">
        <f t="shared" si="3"/>
        <v>18972.93305</v>
      </c>
      <c r="I11" s="30">
        <f t="shared" si="3"/>
        <v>19333.91922</v>
      </c>
      <c r="J11" s="30">
        <f t="shared" si="3"/>
        <v>19709.23495</v>
      </c>
      <c r="K11" s="30">
        <f t="shared" si="3"/>
        <v>20092.05699</v>
      </c>
      <c r="L11" s="30">
        <f t="shared" si="3"/>
        <v>20482.53548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10"/>
      <c r="B12" s="4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31" t="s">
        <v>175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10"/>
      <c r="B14" s="44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10" t="s">
        <v>176</v>
      </c>
      <c r="B15" s="210">
        <f t="shared" ref="B15:L15" si="4">B158</f>
        <v>160155</v>
      </c>
      <c r="C15" s="211">
        <f t="shared" si="4"/>
        <v>293609.1914</v>
      </c>
      <c r="D15" s="170">
        <f t="shared" si="4"/>
        <v>557217.2372</v>
      </c>
      <c r="E15" s="170">
        <f t="shared" si="4"/>
        <v>693858.5328</v>
      </c>
      <c r="F15" s="170">
        <f t="shared" si="4"/>
        <v>872922.3354</v>
      </c>
      <c r="G15" s="170">
        <f t="shared" si="4"/>
        <v>1054953.055</v>
      </c>
      <c r="H15" s="170">
        <f t="shared" si="4"/>
        <v>1248114.614</v>
      </c>
      <c r="I15" s="170">
        <f t="shared" si="4"/>
        <v>1413292.714</v>
      </c>
      <c r="J15" s="170">
        <f t="shared" si="4"/>
        <v>1457146.929</v>
      </c>
      <c r="K15" s="170">
        <f t="shared" si="4"/>
        <v>1486949.976</v>
      </c>
      <c r="L15" s="170">
        <f t="shared" si="4"/>
        <v>1371283.359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10" t="s">
        <v>177</v>
      </c>
      <c r="B16" s="212">
        <f t="shared" ref="B16:L16" si="5">B201</f>
        <v>5650</v>
      </c>
      <c r="C16" s="213">
        <f t="shared" si="5"/>
        <v>46610</v>
      </c>
      <c r="D16" s="62">
        <f t="shared" si="5"/>
        <v>56894</v>
      </c>
      <c r="E16" s="62">
        <f t="shared" si="5"/>
        <v>61005.56</v>
      </c>
      <c r="F16" s="62">
        <f t="shared" si="5"/>
        <v>106521.8712</v>
      </c>
      <c r="G16" s="62">
        <f t="shared" si="5"/>
        <v>86462.74462</v>
      </c>
      <c r="H16" s="62">
        <f t="shared" si="5"/>
        <v>91924.14424</v>
      </c>
      <c r="I16" s="62">
        <f t="shared" si="5"/>
        <v>118022.1907</v>
      </c>
      <c r="J16" s="62">
        <f t="shared" si="5"/>
        <v>93328.58895</v>
      </c>
      <c r="K16" s="62">
        <f t="shared" si="5"/>
        <v>97913.36073</v>
      </c>
      <c r="L16" s="62">
        <f t="shared" si="5"/>
        <v>98508.22794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10" t="s">
        <v>178</v>
      </c>
      <c r="B17" s="212">
        <f t="shared" ref="B17:L17" si="6">+B210</f>
        <v>0</v>
      </c>
      <c r="C17" s="213">
        <f t="shared" si="6"/>
        <v>261900</v>
      </c>
      <c r="D17" s="62">
        <f t="shared" si="6"/>
        <v>261900</v>
      </c>
      <c r="E17" s="62">
        <f t="shared" si="6"/>
        <v>349200</v>
      </c>
      <c r="F17" s="62">
        <f t="shared" si="6"/>
        <v>349200</v>
      </c>
      <c r="G17" s="62">
        <f t="shared" si="6"/>
        <v>436500</v>
      </c>
      <c r="H17" s="62">
        <f t="shared" si="6"/>
        <v>523800</v>
      </c>
      <c r="I17" s="62">
        <f t="shared" si="6"/>
        <v>611100</v>
      </c>
      <c r="J17" s="62">
        <f t="shared" si="6"/>
        <v>611100</v>
      </c>
      <c r="K17" s="62">
        <f t="shared" si="6"/>
        <v>611100</v>
      </c>
      <c r="L17" s="62">
        <f t="shared" si="6"/>
        <v>611100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36" t="s">
        <v>179</v>
      </c>
      <c r="B18" s="41">
        <f t="shared" ref="B18:L18" si="7">+B15+B16+B17</f>
        <v>165805</v>
      </c>
      <c r="C18" s="214">
        <f t="shared" si="7"/>
        <v>602119.1914</v>
      </c>
      <c r="D18" s="42">
        <f t="shared" si="7"/>
        <v>876011.2372</v>
      </c>
      <c r="E18" s="42">
        <f t="shared" si="7"/>
        <v>1104064.093</v>
      </c>
      <c r="F18" s="42">
        <f t="shared" si="7"/>
        <v>1328644.207</v>
      </c>
      <c r="G18" s="42">
        <f t="shared" si="7"/>
        <v>1577915.8</v>
      </c>
      <c r="H18" s="42">
        <f t="shared" si="7"/>
        <v>1863838.758</v>
      </c>
      <c r="I18" s="42">
        <f t="shared" si="7"/>
        <v>2142414.905</v>
      </c>
      <c r="J18" s="42">
        <f t="shared" si="7"/>
        <v>2161575.518</v>
      </c>
      <c r="K18" s="42">
        <f t="shared" si="7"/>
        <v>2195963.337</v>
      </c>
      <c r="L18" s="42">
        <f t="shared" si="7"/>
        <v>2080891.587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29" t="s">
        <v>180</v>
      </c>
      <c r="B19" s="215"/>
      <c r="C19" s="216">
        <f t="shared" ref="C19:L19" si="8">C18/C9</f>
        <v>5473.810831</v>
      </c>
      <c r="D19" s="182">
        <f t="shared" si="8"/>
        <v>3842.154549</v>
      </c>
      <c r="E19" s="182">
        <f t="shared" si="8"/>
        <v>3573.022954</v>
      </c>
      <c r="F19" s="182">
        <f t="shared" si="8"/>
        <v>3329.935355</v>
      </c>
      <c r="G19" s="182">
        <f t="shared" si="8"/>
        <v>3226.821676</v>
      </c>
      <c r="H19" s="182">
        <f t="shared" si="8"/>
        <v>3219.065212</v>
      </c>
      <c r="I19" s="182">
        <f t="shared" si="8"/>
        <v>3202.413909</v>
      </c>
      <c r="J19" s="182">
        <f t="shared" si="8"/>
        <v>3231.054586</v>
      </c>
      <c r="K19" s="182">
        <f t="shared" si="8"/>
        <v>3282.456407</v>
      </c>
      <c r="L19" s="182">
        <f t="shared" si="8"/>
        <v>3110.450803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29" t="s">
        <v>83</v>
      </c>
      <c r="B20" s="167">
        <f t="shared" ref="B20:L20" si="9">B18/B10</f>
        <v>0.2364149487</v>
      </c>
      <c r="C20" s="168">
        <f t="shared" si="9"/>
        <v>0.225466799</v>
      </c>
      <c r="D20" s="168">
        <f t="shared" si="9"/>
        <v>0.1914958949</v>
      </c>
      <c r="E20" s="168">
        <f t="shared" si="9"/>
        <v>0.1954534215</v>
      </c>
      <c r="F20" s="168">
        <f t="shared" si="9"/>
        <v>0.1821438598</v>
      </c>
      <c r="G20" s="168">
        <f t="shared" si="9"/>
        <v>0.173282617</v>
      </c>
      <c r="H20" s="168">
        <f t="shared" si="9"/>
        <v>0.1696661873</v>
      </c>
      <c r="I20" s="168">
        <f t="shared" si="9"/>
        <v>0.1656370792</v>
      </c>
      <c r="J20" s="168">
        <f t="shared" si="9"/>
        <v>0.1639360734</v>
      </c>
      <c r="K20" s="168">
        <f t="shared" si="9"/>
        <v>0.1633708489</v>
      </c>
      <c r="L20" s="168">
        <f t="shared" si="9"/>
        <v>0.1518586801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31" t="s">
        <v>181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66" t="s">
        <v>182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9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10" t="s">
        <v>78</v>
      </c>
      <c r="B26" s="61">
        <f>'Staff &amp; Personnel Expenses'!B37</f>
        <v>3</v>
      </c>
      <c r="C26" s="62">
        <f>'Staff &amp; Personnel Expenses'!C37</f>
        <v>5</v>
      </c>
      <c r="D26" s="62">
        <f>'Staff &amp; Personnel Expenses'!D37</f>
        <v>8.5</v>
      </c>
      <c r="E26" s="62">
        <f>'Staff &amp; Personnel Expenses'!E37</f>
        <v>11</v>
      </c>
      <c r="F26" s="62">
        <f>'Staff &amp; Personnel Expenses'!F37</f>
        <v>16.5</v>
      </c>
      <c r="G26" s="62">
        <f>'Staff &amp; Personnel Expenses'!G37</f>
        <v>19</v>
      </c>
      <c r="H26" s="62">
        <f>'Staff &amp; Personnel Expenses'!H37</f>
        <v>21</v>
      </c>
      <c r="I26" s="62">
        <f>'Staff &amp; Personnel Expenses'!I37</f>
        <v>21</v>
      </c>
      <c r="J26" s="62">
        <f>'Staff &amp; Personnel Expenses'!J37</f>
        <v>23</v>
      </c>
      <c r="K26" s="62">
        <f>'Staff &amp; Personnel Expenses'!K37</f>
        <v>23</v>
      </c>
      <c r="L26" s="62">
        <f>'Staff &amp; Personnel Expenses'!L37</f>
        <v>23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10" t="s">
        <v>79</v>
      </c>
      <c r="B27" s="61">
        <f>'Staff &amp; Personnel Expenses'!B55</f>
        <v>0</v>
      </c>
      <c r="C27" s="62">
        <f>'Staff &amp; Personnel Expenses'!C55</f>
        <v>11</v>
      </c>
      <c r="D27" s="62">
        <f>'Staff &amp; Personnel Expenses'!D55</f>
        <v>18</v>
      </c>
      <c r="E27" s="62">
        <f>'Staff &amp; Personnel Expenses'!E55</f>
        <v>23</v>
      </c>
      <c r="F27" s="62">
        <f>'Staff &amp; Personnel Expenses'!F55</f>
        <v>33</v>
      </c>
      <c r="G27" s="62">
        <f>'Staff &amp; Personnel Expenses'!G55</f>
        <v>42</v>
      </c>
      <c r="H27" s="62">
        <f>'Staff &amp; Personnel Expenses'!H55</f>
        <v>48</v>
      </c>
      <c r="I27" s="62">
        <f>'Staff &amp; Personnel Expenses'!I55</f>
        <v>54</v>
      </c>
      <c r="J27" s="62">
        <f>'Staff &amp; Personnel Expenses'!J55</f>
        <v>54</v>
      </c>
      <c r="K27" s="62">
        <f>'Staff &amp; Personnel Expenses'!K55</f>
        <v>54</v>
      </c>
      <c r="L27" s="62">
        <f>'Staff &amp; Personnel Expenses'!L55</f>
        <v>54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10" t="s">
        <v>183</v>
      </c>
      <c r="B28" s="61">
        <f>'Enrollment &amp; Revenue'!B59</f>
        <v>0</v>
      </c>
      <c r="C28" s="62">
        <f>'Enrollment &amp; Revenue'!C59</f>
        <v>110</v>
      </c>
      <c r="D28" s="62">
        <f>'Enrollment &amp; Revenue'!D59</f>
        <v>228</v>
      </c>
      <c r="E28" s="62">
        <f>'Enrollment &amp; Revenue'!E59</f>
        <v>309</v>
      </c>
      <c r="F28" s="62">
        <f>'Enrollment &amp; Revenue'!F59</f>
        <v>399</v>
      </c>
      <c r="G28" s="62">
        <f>'Enrollment &amp; Revenue'!G59</f>
        <v>489</v>
      </c>
      <c r="H28" s="62">
        <f>'Enrollment &amp; Revenue'!H59</f>
        <v>579</v>
      </c>
      <c r="I28" s="62">
        <f>'Enrollment &amp; Revenue'!I59</f>
        <v>669</v>
      </c>
      <c r="J28" s="62">
        <f>'Enrollment &amp; Revenue'!J59</f>
        <v>669</v>
      </c>
      <c r="K28" s="62">
        <f>'Enrollment &amp; Revenue'!K59</f>
        <v>669</v>
      </c>
      <c r="L28" s="62">
        <f>'Enrollment &amp; Revenue'!L59</f>
        <v>669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0" t="s">
        <v>184</v>
      </c>
      <c r="B29" s="61">
        <f>'Enrollment &amp; Revenue'!B40</f>
        <v>0</v>
      </c>
      <c r="C29" s="62">
        <f>'Enrollment &amp; Revenue'!C40</f>
        <v>5</v>
      </c>
      <c r="D29" s="62">
        <f>'Enrollment &amp; Revenue'!D40</f>
        <v>9</v>
      </c>
      <c r="E29" s="62">
        <f>'Enrollment &amp; Revenue'!E40</f>
        <v>12</v>
      </c>
      <c r="F29" s="62">
        <f>'Enrollment &amp; Revenue'!F40</f>
        <v>15</v>
      </c>
      <c r="G29" s="62">
        <f>'Enrollment &amp; Revenue'!G40</f>
        <v>18</v>
      </c>
      <c r="H29" s="62">
        <f>'Enrollment &amp; Revenue'!H40</f>
        <v>21</v>
      </c>
      <c r="I29" s="62">
        <f>'Enrollment &amp; Revenue'!I40</f>
        <v>24</v>
      </c>
      <c r="J29" s="62">
        <f>'Enrollment &amp; Revenue'!J40</f>
        <v>24</v>
      </c>
      <c r="K29" s="62">
        <f>'Enrollment &amp; Revenue'!K40</f>
        <v>24</v>
      </c>
      <c r="L29" s="62">
        <f>'Enrollment &amp; Revenue'!L40</f>
        <v>24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10" t="s">
        <v>185</v>
      </c>
      <c r="B30" s="61">
        <f>'Staff &amp; Personnel Expenses'!B40</f>
        <v>0</v>
      </c>
      <c r="C30" s="62">
        <f>'Staff &amp; Personnel Expenses'!C40</f>
        <v>2</v>
      </c>
      <c r="D30" s="62">
        <f>'Staff &amp; Personnel Expenses'!D40</f>
        <v>4</v>
      </c>
      <c r="E30" s="62">
        <f>'Staff &amp; Personnel Expenses'!E40</f>
        <v>4</v>
      </c>
      <c r="F30" s="62">
        <f>'Staff &amp; Personnel Expenses'!F40</f>
        <v>9</v>
      </c>
      <c r="G30" s="62">
        <f>'Staff &amp; Personnel Expenses'!G40</f>
        <v>13</v>
      </c>
      <c r="H30" s="62">
        <f>'Staff &amp; Personnel Expenses'!H40</f>
        <v>14</v>
      </c>
      <c r="I30" s="62">
        <f>'Staff &amp; Personnel Expenses'!I40</f>
        <v>15</v>
      </c>
      <c r="J30" s="62">
        <f>'Staff &amp; Personnel Expenses'!J40</f>
        <v>15</v>
      </c>
      <c r="K30" s="62">
        <f>'Staff &amp; Personnel Expenses'!K40</f>
        <v>15</v>
      </c>
      <c r="L30" s="62">
        <f>'Staff &amp; Personnel Expenses'!L40</f>
        <v>15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0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 t="s">
        <v>186</v>
      </c>
      <c r="B32" s="61">
        <f>'Enrollment &amp; Revenue'!C59</f>
        <v>110</v>
      </c>
      <c r="C32" s="62">
        <f>'Enrollment &amp; Revenue'!D51+'Enrollment &amp; Revenue'!D62*'Enrollment &amp; Revenue'!C59</f>
        <v>71.5</v>
      </c>
      <c r="D32" s="62">
        <f>'Enrollment &amp; Revenue'!E51+'Enrollment &amp; Revenue'!E62*'Enrollment &amp; Revenue'!D59</f>
        <v>77.4</v>
      </c>
      <c r="E32" s="62">
        <f>'Enrollment &amp; Revenue'!F51+'Enrollment &amp; Revenue'!F62*'Enrollment &amp; Revenue'!E59</f>
        <v>81.45</v>
      </c>
      <c r="F32" s="62">
        <f>'Enrollment &amp; Revenue'!G51+'Enrollment &amp; Revenue'!G62*'Enrollment &amp; Revenue'!F59</f>
        <v>85.95</v>
      </c>
      <c r="G32" s="62">
        <f>'Enrollment &amp; Revenue'!H51+'Enrollment &amp; Revenue'!H62*'Enrollment &amp; Revenue'!G59</f>
        <v>90.45</v>
      </c>
      <c r="H32" s="62">
        <f>'Enrollment &amp; Revenue'!I51+'Enrollment &amp; Revenue'!I62*'Enrollment &amp; Revenue'!H59</f>
        <v>94.95</v>
      </c>
      <c r="I32" s="62">
        <f>'Enrollment &amp; Revenue'!J51+'Enrollment &amp; Revenue'!J62*'Enrollment &amp; Revenue'!I59</f>
        <v>99.45</v>
      </c>
      <c r="J32" s="62">
        <f>'Enrollment &amp; Revenue'!K51+'Enrollment &amp; Revenue'!K62*'Enrollment &amp; Revenue'!J59</f>
        <v>99.45</v>
      </c>
      <c r="K32" s="62">
        <f>'Enrollment &amp; Revenue'!L51+'Enrollment &amp; Revenue'!L62*'Enrollment &amp; Revenue'!K59</f>
        <v>99.45</v>
      </c>
      <c r="L32" s="62">
        <f>K32</f>
        <v>99.45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0" t="s">
        <v>187</v>
      </c>
      <c r="B33" s="61"/>
      <c r="C33" s="62">
        <f t="shared" ref="C33:L33" si="10">ROUND(C9*C34,0)</f>
        <v>17</v>
      </c>
      <c r="D33" s="62">
        <f t="shared" si="10"/>
        <v>34</v>
      </c>
      <c r="E33" s="62">
        <f t="shared" si="10"/>
        <v>46</v>
      </c>
      <c r="F33" s="62">
        <f t="shared" si="10"/>
        <v>60</v>
      </c>
      <c r="G33" s="62">
        <f t="shared" si="10"/>
        <v>73</v>
      </c>
      <c r="H33" s="62">
        <f t="shared" si="10"/>
        <v>87</v>
      </c>
      <c r="I33" s="62">
        <f t="shared" si="10"/>
        <v>100</v>
      </c>
      <c r="J33" s="62">
        <f t="shared" si="10"/>
        <v>100</v>
      </c>
      <c r="K33" s="62">
        <f t="shared" si="10"/>
        <v>100</v>
      </c>
      <c r="L33" s="62">
        <f t="shared" si="10"/>
        <v>100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29" t="s">
        <v>188</v>
      </c>
      <c r="B34" s="61"/>
      <c r="C34" s="199">
        <v>0.15</v>
      </c>
      <c r="D34" s="199">
        <v>0.15</v>
      </c>
      <c r="E34" s="199">
        <v>0.15</v>
      </c>
      <c r="F34" s="199">
        <v>0.15</v>
      </c>
      <c r="G34" s="199">
        <v>0.15</v>
      </c>
      <c r="H34" s="199">
        <v>0.15</v>
      </c>
      <c r="I34" s="199">
        <v>0.15</v>
      </c>
      <c r="J34" s="199">
        <v>0.15</v>
      </c>
      <c r="K34" s="199">
        <v>0.15</v>
      </c>
      <c r="L34" s="199">
        <v>0.15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0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10" t="s">
        <v>189</v>
      </c>
      <c r="B36" s="61">
        <f>'Staff &amp; Personnel Expenses'!C60-'Staff &amp; Personnel Expenses'!B60</f>
        <v>13</v>
      </c>
      <c r="C36" s="62">
        <f>'Staff &amp; Personnel Expenses'!D60-'Staff &amp; Personnel Expenses'!C60</f>
        <v>10.5</v>
      </c>
      <c r="D36" s="62">
        <f>'Staff &amp; Personnel Expenses'!E60-'Staff &amp; Personnel Expenses'!D60</f>
        <v>7.5</v>
      </c>
      <c r="E36" s="62">
        <f>'Staff &amp; Personnel Expenses'!F60-'Staff &amp; Personnel Expenses'!E60</f>
        <v>15.5</v>
      </c>
      <c r="F36" s="62">
        <f>'Staff &amp; Personnel Expenses'!G60-'Staff &amp; Personnel Expenses'!F60</f>
        <v>11.5</v>
      </c>
      <c r="G36" s="62">
        <f>'Staff &amp; Personnel Expenses'!H60-'Staff &amp; Personnel Expenses'!G60</f>
        <v>8</v>
      </c>
      <c r="H36" s="62">
        <f>'Staff &amp; Personnel Expenses'!I60-'Staff &amp; Personnel Expenses'!H60</f>
        <v>6</v>
      </c>
      <c r="I36" s="62">
        <f>'Staff &amp; Personnel Expenses'!J60-'Staff &amp; Personnel Expenses'!I60</f>
        <v>2</v>
      </c>
      <c r="J36" s="62">
        <f>'Staff &amp; Personnel Expenses'!K60-'Staff &amp; Personnel Expenses'!J60</f>
        <v>0</v>
      </c>
      <c r="K36" s="62">
        <f>'Staff &amp; Personnel Expenses'!L60-'Staff &amp; Personnel Expenses'!K60</f>
        <v>0</v>
      </c>
      <c r="L36" s="217">
        <v>0.0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45" t="s">
        <v>190</v>
      </c>
      <c r="B37" s="61"/>
      <c r="C37" s="62">
        <v>0.0</v>
      </c>
      <c r="D37" s="62">
        <v>0.0</v>
      </c>
      <c r="E37" s="217">
        <v>0.0</v>
      </c>
      <c r="F37" s="217">
        <v>0.0</v>
      </c>
      <c r="G37" s="217">
        <v>1.0</v>
      </c>
      <c r="H37" s="217">
        <v>1.0</v>
      </c>
      <c r="I37" s="217">
        <v>1.0</v>
      </c>
      <c r="J37" s="217">
        <v>1.0</v>
      </c>
      <c r="K37" s="217">
        <v>1.0</v>
      </c>
      <c r="L37" s="217">
        <v>1.0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45" t="s">
        <v>191</v>
      </c>
      <c r="B38" s="61">
        <v>0.0</v>
      </c>
      <c r="C38" s="62">
        <v>0.0</v>
      </c>
      <c r="D38" s="62">
        <f t="shared" ref="D38:L38" si="11">0.2*C27</f>
        <v>2.2</v>
      </c>
      <c r="E38" s="62">
        <f t="shared" si="11"/>
        <v>3.6</v>
      </c>
      <c r="F38" s="62">
        <f t="shared" si="11"/>
        <v>4.6</v>
      </c>
      <c r="G38" s="62">
        <f t="shared" si="11"/>
        <v>6.6</v>
      </c>
      <c r="H38" s="62">
        <f t="shared" si="11"/>
        <v>8.4</v>
      </c>
      <c r="I38" s="62">
        <f t="shared" si="11"/>
        <v>9.6</v>
      </c>
      <c r="J38" s="62">
        <f t="shared" si="11"/>
        <v>10.8</v>
      </c>
      <c r="K38" s="62">
        <f t="shared" si="11"/>
        <v>10.8</v>
      </c>
      <c r="L38" s="62">
        <f t="shared" si="11"/>
        <v>10.8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36" t="s">
        <v>192</v>
      </c>
      <c r="B39" s="37">
        <f t="shared" ref="B39:L39" si="12">B36+B38</f>
        <v>13</v>
      </c>
      <c r="C39" s="38">
        <f t="shared" si="12"/>
        <v>10.5</v>
      </c>
      <c r="D39" s="38">
        <f t="shared" si="12"/>
        <v>9.7</v>
      </c>
      <c r="E39" s="38">
        <f t="shared" si="12"/>
        <v>19.1</v>
      </c>
      <c r="F39" s="38">
        <f t="shared" si="12"/>
        <v>16.1</v>
      </c>
      <c r="G39" s="38">
        <f t="shared" si="12"/>
        <v>14.6</v>
      </c>
      <c r="H39" s="38">
        <f t="shared" si="12"/>
        <v>14.4</v>
      </c>
      <c r="I39" s="38">
        <f t="shared" si="12"/>
        <v>11.6</v>
      </c>
      <c r="J39" s="38">
        <f t="shared" si="12"/>
        <v>10.8</v>
      </c>
      <c r="K39" s="38">
        <f t="shared" si="12"/>
        <v>10.8</v>
      </c>
      <c r="L39" s="38">
        <f t="shared" si="12"/>
        <v>10.8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9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66" t="s">
        <v>193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9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48" t="s">
        <v>194</v>
      </c>
      <c r="B43" s="4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79" t="s">
        <v>195</v>
      </c>
      <c r="B44" s="80">
        <v>5000.0</v>
      </c>
      <c r="C44" s="200">
        <v>0.0</v>
      </c>
      <c r="D44" s="200">
        <v>0.0</v>
      </c>
      <c r="E44" s="200">
        <v>0.0</v>
      </c>
      <c r="F44" s="200">
        <v>0.0</v>
      </c>
      <c r="G44" s="200">
        <v>0.0</v>
      </c>
      <c r="H44" s="200">
        <v>0.0</v>
      </c>
      <c r="I44" s="200">
        <v>0.0</v>
      </c>
      <c r="J44" s="200">
        <v>0.0</v>
      </c>
      <c r="K44" s="200">
        <v>0.0</v>
      </c>
      <c r="L44" s="200">
        <v>0.0</v>
      </c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ht="15.75" customHeight="1">
      <c r="A45" s="79" t="s">
        <v>196</v>
      </c>
      <c r="B45" s="218">
        <v>5000.0</v>
      </c>
      <c r="C45" s="219">
        <v>6000.0</v>
      </c>
      <c r="D45" s="220">
        <f t="shared" ref="D45:L45" si="13">+C45*1.02</f>
        <v>6120</v>
      </c>
      <c r="E45" s="220">
        <f t="shared" si="13"/>
        <v>6242.4</v>
      </c>
      <c r="F45" s="220">
        <f t="shared" si="13"/>
        <v>6367.248</v>
      </c>
      <c r="G45" s="220">
        <f t="shared" si="13"/>
        <v>6494.59296</v>
      </c>
      <c r="H45" s="220">
        <f t="shared" si="13"/>
        <v>6624.484819</v>
      </c>
      <c r="I45" s="220">
        <f t="shared" si="13"/>
        <v>6756.974516</v>
      </c>
      <c r="J45" s="220">
        <f t="shared" si="13"/>
        <v>6892.114006</v>
      </c>
      <c r="K45" s="220">
        <f t="shared" si="13"/>
        <v>7029.956286</v>
      </c>
      <c r="L45" s="220">
        <f t="shared" si="13"/>
        <v>7170.555412</v>
      </c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ht="15.75" customHeight="1">
      <c r="A46" s="79" t="s">
        <v>197</v>
      </c>
      <c r="B46" s="218">
        <v>0.0</v>
      </c>
      <c r="C46" s="219">
        <v>0.0</v>
      </c>
      <c r="D46" s="220">
        <f t="shared" ref="D46:L46" si="14">+C46*1.02</f>
        <v>0</v>
      </c>
      <c r="E46" s="220">
        <f t="shared" si="14"/>
        <v>0</v>
      </c>
      <c r="F46" s="220">
        <f t="shared" si="14"/>
        <v>0</v>
      </c>
      <c r="G46" s="220">
        <f t="shared" si="14"/>
        <v>0</v>
      </c>
      <c r="H46" s="220">
        <f t="shared" si="14"/>
        <v>0</v>
      </c>
      <c r="I46" s="220">
        <f t="shared" si="14"/>
        <v>0</v>
      </c>
      <c r="J46" s="220">
        <f t="shared" si="14"/>
        <v>0</v>
      </c>
      <c r="K46" s="220">
        <f t="shared" si="14"/>
        <v>0</v>
      </c>
      <c r="L46" s="220">
        <f t="shared" si="14"/>
        <v>0</v>
      </c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ht="15.75" customHeight="1">
      <c r="A47" s="79" t="s">
        <v>198</v>
      </c>
      <c r="B47" s="221">
        <v>13909.0</v>
      </c>
      <c r="C47" s="219">
        <v>5000.0</v>
      </c>
      <c r="D47" s="220">
        <v>12400.0</v>
      </c>
      <c r="E47" s="220">
        <v>16500.0</v>
      </c>
      <c r="F47" s="220">
        <v>21100.0</v>
      </c>
      <c r="G47" s="220">
        <v>25700.0</v>
      </c>
      <c r="H47" s="220">
        <f t="shared" ref="H47:L47" si="15">+G47+5000</f>
        <v>30700</v>
      </c>
      <c r="I47" s="220">
        <f t="shared" si="15"/>
        <v>35700</v>
      </c>
      <c r="J47" s="220">
        <f t="shared" si="15"/>
        <v>40700</v>
      </c>
      <c r="K47" s="220">
        <f t="shared" si="15"/>
        <v>45700</v>
      </c>
      <c r="L47" s="220">
        <f t="shared" si="15"/>
        <v>50700</v>
      </c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ht="15.75" customHeight="1">
      <c r="A48" s="79" t="s">
        <v>199</v>
      </c>
      <c r="B48" s="221">
        <v>15000.0</v>
      </c>
      <c r="C48" s="220">
        <v>3240.0</v>
      </c>
      <c r="D48" s="220">
        <v>4957.2</v>
      </c>
      <c r="E48" s="220">
        <v>6609.599999999999</v>
      </c>
      <c r="F48" s="220">
        <v>8445.599999999999</v>
      </c>
      <c r="G48" s="220">
        <v>10281.599999999999</v>
      </c>
      <c r="H48" s="220">
        <f t="shared" ref="H48:L48" si="16">+G48+2000</f>
        <v>12281.6</v>
      </c>
      <c r="I48" s="220">
        <f t="shared" si="16"/>
        <v>14281.6</v>
      </c>
      <c r="J48" s="220">
        <f t="shared" si="16"/>
        <v>16281.6</v>
      </c>
      <c r="K48" s="220">
        <f t="shared" si="16"/>
        <v>18281.6</v>
      </c>
      <c r="L48" s="220">
        <f t="shared" si="16"/>
        <v>20281.6</v>
      </c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ht="15.75" customHeight="1">
      <c r="A49" s="10" t="s">
        <v>200</v>
      </c>
      <c r="B49" s="146">
        <f t="shared" ref="B49:L49" si="17">B50*B51</f>
        <v>4000</v>
      </c>
      <c r="C49" s="147">
        <f t="shared" si="17"/>
        <v>1000</v>
      </c>
      <c r="D49" s="147">
        <f t="shared" si="17"/>
        <v>1020</v>
      </c>
      <c r="E49" s="147">
        <f t="shared" si="17"/>
        <v>1040.4</v>
      </c>
      <c r="F49" s="147">
        <f t="shared" si="17"/>
        <v>1061.208</v>
      </c>
      <c r="G49" s="147">
        <f t="shared" si="17"/>
        <v>1082.43216</v>
      </c>
      <c r="H49" s="147">
        <f t="shared" si="17"/>
        <v>1104.080803</v>
      </c>
      <c r="I49" s="147">
        <f t="shared" si="17"/>
        <v>1126.162419</v>
      </c>
      <c r="J49" s="147">
        <f t="shared" si="17"/>
        <v>1148.685668</v>
      </c>
      <c r="K49" s="147">
        <f t="shared" si="17"/>
        <v>1171.659381</v>
      </c>
      <c r="L49" s="147">
        <f t="shared" si="17"/>
        <v>1195.092569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29" t="s">
        <v>201</v>
      </c>
      <c r="B50" s="222">
        <v>10.0</v>
      </c>
      <c r="C50" s="223">
        <v>5.0</v>
      </c>
      <c r="D50" s="223">
        <v>5.0</v>
      </c>
      <c r="E50" s="223">
        <v>5.0</v>
      </c>
      <c r="F50" s="223">
        <v>5.0</v>
      </c>
      <c r="G50" s="223">
        <v>5.0</v>
      </c>
      <c r="H50" s="223">
        <v>5.0</v>
      </c>
      <c r="I50" s="223">
        <v>5.0</v>
      </c>
      <c r="J50" s="223">
        <v>5.0</v>
      </c>
      <c r="K50" s="223">
        <v>5.0</v>
      </c>
      <c r="L50" s="223">
        <v>5.0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29" t="s">
        <v>202</v>
      </c>
      <c r="B51" s="157">
        <v>400.0</v>
      </c>
      <c r="C51" s="171">
        <v>200.0</v>
      </c>
      <c r="D51" s="158">
        <f t="shared" ref="D51:L51" si="18">+C51*1.02</f>
        <v>204</v>
      </c>
      <c r="E51" s="158">
        <f t="shared" si="18"/>
        <v>208.08</v>
      </c>
      <c r="F51" s="158">
        <f t="shared" si="18"/>
        <v>212.2416</v>
      </c>
      <c r="G51" s="158">
        <f t="shared" si="18"/>
        <v>216.486432</v>
      </c>
      <c r="H51" s="158">
        <f t="shared" si="18"/>
        <v>220.8161606</v>
      </c>
      <c r="I51" s="158">
        <f t="shared" si="18"/>
        <v>225.2324839</v>
      </c>
      <c r="J51" s="158">
        <f t="shared" si="18"/>
        <v>229.7371335</v>
      </c>
      <c r="K51" s="158">
        <f t="shared" si="18"/>
        <v>234.3318762</v>
      </c>
      <c r="L51" s="158">
        <f t="shared" si="18"/>
        <v>239.0185137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 t="s">
        <v>203</v>
      </c>
      <c r="B52" s="146">
        <f t="shared" ref="B52:L52" si="19">B53*B54</f>
        <v>0</v>
      </c>
      <c r="C52" s="147">
        <f t="shared" si="19"/>
        <v>2000</v>
      </c>
      <c r="D52" s="147">
        <f t="shared" si="19"/>
        <v>4000</v>
      </c>
      <c r="E52" s="147">
        <f t="shared" si="19"/>
        <v>4000</v>
      </c>
      <c r="F52" s="147">
        <f t="shared" si="19"/>
        <v>4000</v>
      </c>
      <c r="G52" s="147">
        <f t="shared" si="19"/>
        <v>6000</v>
      </c>
      <c r="H52" s="147">
        <f t="shared" si="19"/>
        <v>6000</v>
      </c>
      <c r="I52" s="147">
        <f t="shared" si="19"/>
        <v>6000</v>
      </c>
      <c r="J52" s="147">
        <f t="shared" si="19"/>
        <v>6000</v>
      </c>
      <c r="K52" s="147">
        <f t="shared" si="19"/>
        <v>8000</v>
      </c>
      <c r="L52" s="147">
        <f t="shared" si="19"/>
        <v>8000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29" t="s">
        <v>204</v>
      </c>
      <c r="B53" s="222">
        <v>0.0</v>
      </c>
      <c r="C53" s="224">
        <v>1.0</v>
      </c>
      <c r="D53" s="224">
        <v>2.0</v>
      </c>
      <c r="E53" s="224">
        <v>2.0</v>
      </c>
      <c r="F53" s="224">
        <v>2.0</v>
      </c>
      <c r="G53" s="224">
        <v>3.0</v>
      </c>
      <c r="H53" s="224">
        <v>3.0</v>
      </c>
      <c r="I53" s="224">
        <v>3.0</v>
      </c>
      <c r="J53" s="224">
        <v>3.0</v>
      </c>
      <c r="K53" s="224">
        <v>4.0</v>
      </c>
      <c r="L53" s="224">
        <v>4.0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29" t="s">
        <v>205</v>
      </c>
      <c r="B54" s="157">
        <v>0.0</v>
      </c>
      <c r="C54" s="225">
        <v>2000.0</v>
      </c>
      <c r="D54" s="225">
        <v>2000.0</v>
      </c>
      <c r="E54" s="225">
        <v>2000.0</v>
      </c>
      <c r="F54" s="225">
        <v>2000.0</v>
      </c>
      <c r="G54" s="225">
        <v>2000.0</v>
      </c>
      <c r="H54" s="225">
        <v>2000.0</v>
      </c>
      <c r="I54" s="225">
        <v>2000.0</v>
      </c>
      <c r="J54" s="225">
        <v>2000.0</v>
      </c>
      <c r="K54" s="225">
        <v>2000.0</v>
      </c>
      <c r="L54" s="225">
        <v>2000.0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36" t="s">
        <v>206</v>
      </c>
      <c r="B55" s="41">
        <f t="shared" ref="B55:L55" si="20">B44+B45+B46+B47+B48+B49+B52</f>
        <v>42909</v>
      </c>
      <c r="C55" s="42">
        <f t="shared" si="20"/>
        <v>17240</v>
      </c>
      <c r="D55" s="42">
        <f t="shared" si="20"/>
        <v>28497.2</v>
      </c>
      <c r="E55" s="42">
        <f t="shared" si="20"/>
        <v>34392.4</v>
      </c>
      <c r="F55" s="42">
        <f t="shared" si="20"/>
        <v>40974.056</v>
      </c>
      <c r="G55" s="42">
        <f t="shared" si="20"/>
        <v>49558.62512</v>
      </c>
      <c r="H55" s="42">
        <f t="shared" si="20"/>
        <v>56710.16562</v>
      </c>
      <c r="I55" s="42">
        <f t="shared" si="20"/>
        <v>63864.73693</v>
      </c>
      <c r="J55" s="42">
        <f t="shared" si="20"/>
        <v>71022.39967</v>
      </c>
      <c r="K55" s="42">
        <f t="shared" si="20"/>
        <v>80183.21567</v>
      </c>
      <c r="L55" s="42">
        <f t="shared" si="20"/>
        <v>87347.24798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29" t="s">
        <v>207</v>
      </c>
      <c r="B56" s="226">
        <f t="shared" ref="B56:L56" si="21">+B55/B32</f>
        <v>390.0818182</v>
      </c>
      <c r="C56" s="30">
        <f t="shared" si="21"/>
        <v>241.1188811</v>
      </c>
      <c r="D56" s="30">
        <f t="shared" si="21"/>
        <v>368.1808786</v>
      </c>
      <c r="E56" s="30">
        <f t="shared" si="21"/>
        <v>422.2516882</v>
      </c>
      <c r="F56" s="30">
        <f t="shared" si="21"/>
        <v>476.7196742</v>
      </c>
      <c r="G56" s="30">
        <f t="shared" si="21"/>
        <v>547.9118311</v>
      </c>
      <c r="H56" s="30">
        <f t="shared" si="21"/>
        <v>597.263461</v>
      </c>
      <c r="I56" s="30">
        <f t="shared" si="21"/>
        <v>642.1793558</v>
      </c>
      <c r="J56" s="30">
        <f t="shared" si="21"/>
        <v>714.1518318</v>
      </c>
      <c r="K56" s="30">
        <f t="shared" si="21"/>
        <v>806.2666231</v>
      </c>
      <c r="L56" s="30">
        <f t="shared" si="21"/>
        <v>878.3031471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/>
      <c r="B57" s="4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48" t="s">
        <v>208</v>
      </c>
      <c r="B58" s="4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29" t="s">
        <v>209</v>
      </c>
      <c r="B59" s="157">
        <v>120.0</v>
      </c>
      <c r="C59" s="171">
        <v>0.0</v>
      </c>
      <c r="D59" s="158">
        <f t="shared" ref="D59:L59" si="22">+C59*1.02</f>
        <v>0</v>
      </c>
      <c r="E59" s="158">
        <f t="shared" si="22"/>
        <v>0</v>
      </c>
      <c r="F59" s="158">
        <f t="shared" si="22"/>
        <v>0</v>
      </c>
      <c r="G59" s="158">
        <f t="shared" si="22"/>
        <v>0</v>
      </c>
      <c r="H59" s="158">
        <f t="shared" si="22"/>
        <v>0</v>
      </c>
      <c r="I59" s="158">
        <f t="shared" si="22"/>
        <v>0</v>
      </c>
      <c r="J59" s="158">
        <f t="shared" si="22"/>
        <v>0</v>
      </c>
      <c r="K59" s="158">
        <f t="shared" si="22"/>
        <v>0</v>
      </c>
      <c r="L59" s="158">
        <f t="shared" si="22"/>
        <v>0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36" t="s">
        <v>210</v>
      </c>
      <c r="B60" s="227">
        <f t="shared" ref="B60:L60" si="23">B39*B59</f>
        <v>1560</v>
      </c>
      <c r="C60" s="42">
        <f t="shared" si="23"/>
        <v>0</v>
      </c>
      <c r="D60" s="42">
        <f t="shared" si="23"/>
        <v>0</v>
      </c>
      <c r="E60" s="42">
        <f t="shared" si="23"/>
        <v>0</v>
      </c>
      <c r="F60" s="42">
        <f t="shared" si="23"/>
        <v>0</v>
      </c>
      <c r="G60" s="42">
        <f t="shared" si="23"/>
        <v>0</v>
      </c>
      <c r="H60" s="42">
        <f t="shared" si="23"/>
        <v>0</v>
      </c>
      <c r="I60" s="42">
        <f t="shared" si="23"/>
        <v>0</v>
      </c>
      <c r="J60" s="42">
        <f t="shared" si="23"/>
        <v>0</v>
      </c>
      <c r="K60" s="42">
        <f t="shared" si="23"/>
        <v>0</v>
      </c>
      <c r="L60" s="42">
        <f t="shared" si="23"/>
        <v>0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4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228" t="s">
        <v>211</v>
      </c>
      <c r="B62" s="229">
        <f t="shared" ref="B62:L62" si="24">B55+B60</f>
        <v>44469</v>
      </c>
      <c r="C62" s="230">
        <f t="shared" si="24"/>
        <v>17240</v>
      </c>
      <c r="D62" s="230">
        <f t="shared" si="24"/>
        <v>28497.2</v>
      </c>
      <c r="E62" s="230">
        <f t="shared" si="24"/>
        <v>34392.4</v>
      </c>
      <c r="F62" s="230">
        <f t="shared" si="24"/>
        <v>40974.056</v>
      </c>
      <c r="G62" s="230">
        <f t="shared" si="24"/>
        <v>49558.62512</v>
      </c>
      <c r="H62" s="230">
        <f t="shared" si="24"/>
        <v>56710.16562</v>
      </c>
      <c r="I62" s="230">
        <f t="shared" si="24"/>
        <v>63864.73693</v>
      </c>
      <c r="J62" s="230">
        <f t="shared" si="24"/>
        <v>71022.39967</v>
      </c>
      <c r="K62" s="230">
        <f t="shared" si="24"/>
        <v>80183.21567</v>
      </c>
      <c r="L62" s="230">
        <f t="shared" si="24"/>
        <v>87347.24798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4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66" t="s">
        <v>212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9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48" t="s">
        <v>213</v>
      </c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231" t="s">
        <v>214</v>
      </c>
      <c r="B67" s="232">
        <f t="shared" ref="B67:L67" si="25">B68*B28</f>
        <v>0</v>
      </c>
      <c r="C67" s="233">
        <f t="shared" si="25"/>
        <v>11000</v>
      </c>
      <c r="D67" s="233">
        <f t="shared" si="25"/>
        <v>23256</v>
      </c>
      <c r="E67" s="233">
        <f t="shared" si="25"/>
        <v>32148.36</v>
      </c>
      <c r="F67" s="233">
        <f t="shared" si="25"/>
        <v>42342.1992</v>
      </c>
      <c r="G67" s="233">
        <f t="shared" si="25"/>
        <v>52930.93262</v>
      </c>
      <c r="H67" s="233">
        <f t="shared" si="25"/>
        <v>63926.27851</v>
      </c>
      <c r="I67" s="233">
        <f t="shared" si="25"/>
        <v>75340.26585</v>
      </c>
      <c r="J67" s="233">
        <f t="shared" si="25"/>
        <v>76847.07117</v>
      </c>
      <c r="K67" s="233">
        <f t="shared" si="25"/>
        <v>78384.01259</v>
      </c>
      <c r="L67" s="233">
        <f t="shared" si="25"/>
        <v>79951.69284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29" t="s">
        <v>215</v>
      </c>
      <c r="B68" s="157">
        <v>0.0</v>
      </c>
      <c r="C68" s="158">
        <v>100.0</v>
      </c>
      <c r="D68" s="158">
        <f t="shared" ref="D68:L68" si="26">+C68*1.02</f>
        <v>102</v>
      </c>
      <c r="E68" s="158">
        <f t="shared" si="26"/>
        <v>104.04</v>
      </c>
      <c r="F68" s="158">
        <f t="shared" si="26"/>
        <v>106.1208</v>
      </c>
      <c r="G68" s="158">
        <f t="shared" si="26"/>
        <v>108.243216</v>
      </c>
      <c r="H68" s="158">
        <f t="shared" si="26"/>
        <v>110.4080803</v>
      </c>
      <c r="I68" s="158">
        <f t="shared" si="26"/>
        <v>112.6162419</v>
      </c>
      <c r="J68" s="158">
        <f t="shared" si="26"/>
        <v>114.8685668</v>
      </c>
      <c r="K68" s="158">
        <f t="shared" si="26"/>
        <v>117.1659381</v>
      </c>
      <c r="L68" s="158">
        <f t="shared" si="26"/>
        <v>119.5092569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4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231" t="s">
        <v>216</v>
      </c>
      <c r="B70" s="232">
        <f>B71*B32</f>
        <v>0</v>
      </c>
      <c r="C70" s="233">
        <f t="shared" ref="C70:L70" si="27">C71*C27</f>
        <v>2750</v>
      </c>
      <c r="D70" s="233">
        <f t="shared" si="27"/>
        <v>4590</v>
      </c>
      <c r="E70" s="233">
        <f t="shared" si="27"/>
        <v>5982.3</v>
      </c>
      <c r="F70" s="233">
        <f t="shared" si="27"/>
        <v>8754.966</v>
      </c>
      <c r="G70" s="233">
        <f t="shared" si="27"/>
        <v>11365.53768</v>
      </c>
      <c r="H70" s="233">
        <f t="shared" si="27"/>
        <v>13248.96964</v>
      </c>
      <c r="I70" s="233">
        <f t="shared" si="27"/>
        <v>15203.19266</v>
      </c>
      <c r="J70" s="233">
        <f t="shared" si="27"/>
        <v>15507.25651</v>
      </c>
      <c r="K70" s="233">
        <f t="shared" si="27"/>
        <v>15817.40164</v>
      </c>
      <c r="L70" s="233">
        <f t="shared" si="27"/>
        <v>16133.74968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29" t="s">
        <v>217</v>
      </c>
      <c r="B71" s="157">
        <v>0.0</v>
      </c>
      <c r="C71" s="171">
        <v>250.0</v>
      </c>
      <c r="D71" s="158">
        <f t="shared" ref="D71:L71" si="28">+C71*1.02</f>
        <v>255</v>
      </c>
      <c r="E71" s="158">
        <f t="shared" si="28"/>
        <v>260.1</v>
      </c>
      <c r="F71" s="158">
        <f t="shared" si="28"/>
        <v>265.302</v>
      </c>
      <c r="G71" s="158">
        <f t="shared" si="28"/>
        <v>270.60804</v>
      </c>
      <c r="H71" s="158">
        <f t="shared" si="28"/>
        <v>276.0202008</v>
      </c>
      <c r="I71" s="158">
        <f t="shared" si="28"/>
        <v>281.5406048</v>
      </c>
      <c r="J71" s="158">
        <f t="shared" si="28"/>
        <v>287.1714169</v>
      </c>
      <c r="K71" s="158">
        <f t="shared" si="28"/>
        <v>292.9148453</v>
      </c>
      <c r="L71" s="158">
        <f t="shared" si="28"/>
        <v>298.7731422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4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231" t="s">
        <v>218</v>
      </c>
      <c r="B73" s="174">
        <v>10000.0</v>
      </c>
      <c r="C73" s="234">
        <f>B73</f>
        <v>10000</v>
      </c>
      <c r="D73" s="147">
        <f t="shared" ref="D73:L73" si="29">D74*E28</f>
        <v>58710</v>
      </c>
      <c r="E73" s="147">
        <f t="shared" si="29"/>
        <v>77326.2</v>
      </c>
      <c r="F73" s="147">
        <f t="shared" si="29"/>
        <v>96663.564</v>
      </c>
      <c r="G73" s="147">
        <f t="shared" si="29"/>
        <v>116743.4921</v>
      </c>
      <c r="H73" s="147">
        <f t="shared" si="29"/>
        <v>137587.9519</v>
      </c>
      <c r="I73" s="147">
        <f t="shared" si="29"/>
        <v>140339.7109</v>
      </c>
      <c r="J73" s="147">
        <f t="shared" si="29"/>
        <v>143146.5051</v>
      </c>
      <c r="K73" s="147">
        <f t="shared" si="29"/>
        <v>146009.4352</v>
      </c>
      <c r="L73" s="147">
        <f t="shared" si="29"/>
        <v>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29" t="s">
        <v>215</v>
      </c>
      <c r="B74" s="235">
        <f>B73/C9</f>
        <v>90.90909091</v>
      </c>
      <c r="C74" s="158"/>
      <c r="D74" s="158">
        <v>190.0</v>
      </c>
      <c r="E74" s="158">
        <f t="shared" ref="E74:L74" si="30">+D74*1.02</f>
        <v>193.8</v>
      </c>
      <c r="F74" s="158">
        <f t="shared" si="30"/>
        <v>197.676</v>
      </c>
      <c r="G74" s="158">
        <f t="shared" si="30"/>
        <v>201.62952</v>
      </c>
      <c r="H74" s="158">
        <f t="shared" si="30"/>
        <v>205.6621104</v>
      </c>
      <c r="I74" s="158">
        <f t="shared" si="30"/>
        <v>209.7753526</v>
      </c>
      <c r="J74" s="158">
        <f t="shared" si="30"/>
        <v>213.9708597</v>
      </c>
      <c r="K74" s="158">
        <f t="shared" si="30"/>
        <v>218.2502769</v>
      </c>
      <c r="L74" s="158">
        <f t="shared" si="30"/>
        <v>222.6152824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4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231" t="s">
        <v>219</v>
      </c>
      <c r="B76" s="146">
        <f t="shared" ref="B76:L76" si="31">B77*B28</f>
        <v>0</v>
      </c>
      <c r="C76" s="147">
        <f t="shared" si="31"/>
        <v>5500</v>
      </c>
      <c r="D76" s="147">
        <f t="shared" si="31"/>
        <v>11628</v>
      </c>
      <c r="E76" s="147">
        <f t="shared" si="31"/>
        <v>16074.18</v>
      </c>
      <c r="F76" s="147">
        <f t="shared" si="31"/>
        <v>21171.0996</v>
      </c>
      <c r="G76" s="147">
        <f t="shared" si="31"/>
        <v>26465.46631</v>
      </c>
      <c r="H76" s="147">
        <f t="shared" si="31"/>
        <v>31963.13925</v>
      </c>
      <c r="I76" s="147">
        <f t="shared" si="31"/>
        <v>37670.13292</v>
      </c>
      <c r="J76" s="147">
        <f t="shared" si="31"/>
        <v>38423.53558</v>
      </c>
      <c r="K76" s="147">
        <f t="shared" si="31"/>
        <v>39192.00629</v>
      </c>
      <c r="L76" s="147">
        <f t="shared" si="31"/>
        <v>39975.84642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29" t="s">
        <v>215</v>
      </c>
      <c r="B77" s="157">
        <v>0.0</v>
      </c>
      <c r="C77" s="158">
        <v>50.0</v>
      </c>
      <c r="D77" s="158">
        <f t="shared" ref="D77:L77" si="32">+C77*1.02</f>
        <v>51</v>
      </c>
      <c r="E77" s="158">
        <f t="shared" si="32"/>
        <v>52.02</v>
      </c>
      <c r="F77" s="158">
        <f t="shared" si="32"/>
        <v>53.0604</v>
      </c>
      <c r="G77" s="158">
        <f t="shared" si="32"/>
        <v>54.121608</v>
      </c>
      <c r="H77" s="158">
        <f t="shared" si="32"/>
        <v>55.20404016</v>
      </c>
      <c r="I77" s="158">
        <f t="shared" si="32"/>
        <v>56.30812096</v>
      </c>
      <c r="J77" s="158">
        <f t="shared" si="32"/>
        <v>57.43428338</v>
      </c>
      <c r="K77" s="158">
        <f t="shared" si="32"/>
        <v>58.58296905</v>
      </c>
      <c r="L77" s="158">
        <f t="shared" si="32"/>
        <v>59.75462843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4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231" t="s">
        <v>220</v>
      </c>
      <c r="B79" s="146">
        <f t="shared" ref="B79:L79" si="33">B80*B28</f>
        <v>0</v>
      </c>
      <c r="C79" s="147">
        <f t="shared" si="33"/>
        <v>1100</v>
      </c>
      <c r="D79" s="147">
        <f t="shared" si="33"/>
        <v>2325.6</v>
      </c>
      <c r="E79" s="147">
        <f t="shared" si="33"/>
        <v>3214.836</v>
      </c>
      <c r="F79" s="147">
        <f t="shared" si="33"/>
        <v>4234.21992</v>
      </c>
      <c r="G79" s="147">
        <f t="shared" si="33"/>
        <v>5293.093262</v>
      </c>
      <c r="H79" s="147">
        <f t="shared" si="33"/>
        <v>6392.627851</v>
      </c>
      <c r="I79" s="147">
        <f t="shared" si="33"/>
        <v>7534.026585</v>
      </c>
      <c r="J79" s="147">
        <f t="shared" si="33"/>
        <v>7684.707117</v>
      </c>
      <c r="K79" s="147">
        <f t="shared" si="33"/>
        <v>7838.401259</v>
      </c>
      <c r="L79" s="147">
        <f t="shared" si="33"/>
        <v>7995.169284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29" t="s">
        <v>215</v>
      </c>
      <c r="B80" s="157">
        <v>0.0</v>
      </c>
      <c r="C80" s="171">
        <v>10.0</v>
      </c>
      <c r="D80" s="158">
        <f t="shared" ref="D80:L80" si="34">+C80*1.02</f>
        <v>10.2</v>
      </c>
      <c r="E80" s="158">
        <f t="shared" si="34"/>
        <v>10.404</v>
      </c>
      <c r="F80" s="158">
        <f t="shared" si="34"/>
        <v>10.61208</v>
      </c>
      <c r="G80" s="158">
        <f t="shared" si="34"/>
        <v>10.8243216</v>
      </c>
      <c r="H80" s="158">
        <f t="shared" si="34"/>
        <v>11.04080803</v>
      </c>
      <c r="I80" s="158">
        <f t="shared" si="34"/>
        <v>11.26162419</v>
      </c>
      <c r="J80" s="158">
        <f t="shared" si="34"/>
        <v>11.48685668</v>
      </c>
      <c r="K80" s="158">
        <f t="shared" si="34"/>
        <v>11.71659381</v>
      </c>
      <c r="L80" s="158">
        <f t="shared" si="34"/>
        <v>11.95092569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29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231" t="s">
        <v>221</v>
      </c>
      <c r="B82" s="146">
        <f>B84*B28+B83*(C30-B30)</f>
        <v>400</v>
      </c>
      <c r="C82" s="147">
        <f>C84*C28+C83</f>
        <v>1100</v>
      </c>
      <c r="D82" s="147">
        <f t="shared" ref="D82:K82" si="35">D84*D28+D83*(E30-D30)</f>
        <v>2280</v>
      </c>
      <c r="E82" s="147">
        <f t="shared" si="35"/>
        <v>13090</v>
      </c>
      <c r="F82" s="147">
        <f t="shared" si="35"/>
        <v>11990</v>
      </c>
      <c r="G82" s="147">
        <f t="shared" si="35"/>
        <v>6890</v>
      </c>
      <c r="H82" s="147">
        <f t="shared" si="35"/>
        <v>7790</v>
      </c>
      <c r="I82" s="147">
        <f t="shared" si="35"/>
        <v>6690</v>
      </c>
      <c r="J82" s="147">
        <f t="shared" si="35"/>
        <v>6690</v>
      </c>
      <c r="K82" s="147">
        <f t="shared" si="35"/>
        <v>6690</v>
      </c>
      <c r="L82" s="147">
        <f>L84*L28</f>
        <v>6690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29" t="s">
        <v>222</v>
      </c>
      <c r="B83" s="236">
        <v>200.0</v>
      </c>
      <c r="C83" s="237">
        <v>0.0</v>
      </c>
      <c r="D83" s="176">
        <v>2000.0</v>
      </c>
      <c r="E83" s="176">
        <v>2000.0</v>
      </c>
      <c r="F83" s="176">
        <v>2000.0</v>
      </c>
      <c r="G83" s="176">
        <v>2000.0</v>
      </c>
      <c r="H83" s="176">
        <v>2000.0</v>
      </c>
      <c r="I83" s="176">
        <v>2000.0</v>
      </c>
      <c r="J83" s="176">
        <v>2000.0</v>
      </c>
      <c r="K83" s="176">
        <v>2000.0</v>
      </c>
      <c r="L83" s="176">
        <v>2000.0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29" t="s">
        <v>215</v>
      </c>
      <c r="B84" s="175">
        <v>10.0</v>
      </c>
      <c r="C84" s="176">
        <v>10.0</v>
      </c>
      <c r="D84" s="176">
        <v>10.0</v>
      </c>
      <c r="E84" s="176">
        <v>10.0</v>
      </c>
      <c r="F84" s="176">
        <v>10.0</v>
      </c>
      <c r="G84" s="176">
        <v>10.0</v>
      </c>
      <c r="H84" s="176">
        <v>10.0</v>
      </c>
      <c r="I84" s="176">
        <v>10.0</v>
      </c>
      <c r="J84" s="176">
        <v>10.0</v>
      </c>
      <c r="K84" s="176">
        <v>10.0</v>
      </c>
      <c r="L84" s="176">
        <v>10.0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36" t="s">
        <v>223</v>
      </c>
      <c r="B85" s="41">
        <f t="shared" ref="B85:L85" si="36">B67+B73+B76+B79+B82</f>
        <v>10400</v>
      </c>
      <c r="C85" s="42">
        <f t="shared" si="36"/>
        <v>28700</v>
      </c>
      <c r="D85" s="42">
        <f t="shared" si="36"/>
        <v>98199.6</v>
      </c>
      <c r="E85" s="42">
        <f t="shared" si="36"/>
        <v>141853.576</v>
      </c>
      <c r="F85" s="42">
        <f t="shared" si="36"/>
        <v>176401.0827</v>
      </c>
      <c r="G85" s="42">
        <f t="shared" si="36"/>
        <v>208322.9843</v>
      </c>
      <c r="H85" s="42">
        <f t="shared" si="36"/>
        <v>247659.9975</v>
      </c>
      <c r="I85" s="42">
        <f t="shared" si="36"/>
        <v>267574.1363</v>
      </c>
      <c r="J85" s="42">
        <f t="shared" si="36"/>
        <v>272791.819</v>
      </c>
      <c r="K85" s="42">
        <f t="shared" si="36"/>
        <v>278113.8554</v>
      </c>
      <c r="L85" s="42">
        <f t="shared" si="36"/>
        <v>134612.7085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4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48" t="s">
        <v>224</v>
      </c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231" t="s">
        <v>225</v>
      </c>
      <c r="B88" s="146">
        <f t="shared" ref="B88:L88" si="37">B89*B29</f>
        <v>0</v>
      </c>
      <c r="C88" s="147">
        <f t="shared" si="37"/>
        <v>5000</v>
      </c>
      <c r="D88" s="147">
        <f t="shared" si="37"/>
        <v>9000</v>
      </c>
      <c r="E88" s="147">
        <f t="shared" si="37"/>
        <v>12000</v>
      </c>
      <c r="F88" s="147">
        <f t="shared" si="37"/>
        <v>15000</v>
      </c>
      <c r="G88" s="147">
        <f t="shared" si="37"/>
        <v>18000</v>
      </c>
      <c r="H88" s="147">
        <f t="shared" si="37"/>
        <v>21000</v>
      </c>
      <c r="I88" s="147">
        <f t="shared" si="37"/>
        <v>24000</v>
      </c>
      <c r="J88" s="147">
        <f t="shared" si="37"/>
        <v>24000</v>
      </c>
      <c r="K88" s="147">
        <f t="shared" si="37"/>
        <v>24000</v>
      </c>
      <c r="L88" s="147">
        <f t="shared" si="37"/>
        <v>24000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29" t="s">
        <v>226</v>
      </c>
      <c r="B89" s="238">
        <v>0.0</v>
      </c>
      <c r="C89" s="225">
        <v>1000.0</v>
      </c>
      <c r="D89" s="225">
        <v>1000.0</v>
      </c>
      <c r="E89" s="225">
        <v>1000.0</v>
      </c>
      <c r="F89" s="225">
        <v>1000.0</v>
      </c>
      <c r="G89" s="225">
        <v>1000.0</v>
      </c>
      <c r="H89" s="225">
        <v>1000.0</v>
      </c>
      <c r="I89" s="225">
        <v>1000.0</v>
      </c>
      <c r="J89" s="225">
        <v>1000.0</v>
      </c>
      <c r="K89" s="225">
        <v>1000.0</v>
      </c>
      <c r="L89" s="225">
        <v>1000.0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36" t="s">
        <v>227</v>
      </c>
      <c r="B90" s="41">
        <f t="shared" ref="B90:L90" si="38">B88</f>
        <v>0</v>
      </c>
      <c r="C90" s="42">
        <f t="shared" si="38"/>
        <v>5000</v>
      </c>
      <c r="D90" s="42">
        <f t="shared" si="38"/>
        <v>9000</v>
      </c>
      <c r="E90" s="42">
        <f t="shared" si="38"/>
        <v>12000</v>
      </c>
      <c r="F90" s="42">
        <f t="shared" si="38"/>
        <v>15000</v>
      </c>
      <c r="G90" s="42">
        <f t="shared" si="38"/>
        <v>18000</v>
      </c>
      <c r="H90" s="42">
        <f t="shared" si="38"/>
        <v>21000</v>
      </c>
      <c r="I90" s="42">
        <f t="shared" si="38"/>
        <v>24000</v>
      </c>
      <c r="J90" s="42">
        <f t="shared" si="38"/>
        <v>24000</v>
      </c>
      <c r="K90" s="42">
        <f t="shared" si="38"/>
        <v>24000</v>
      </c>
      <c r="L90" s="42">
        <f t="shared" si="38"/>
        <v>24000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44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228" t="s">
        <v>228</v>
      </c>
      <c r="B92" s="229">
        <f t="shared" ref="B92:L92" si="39">B85+B90</f>
        <v>10400</v>
      </c>
      <c r="C92" s="230">
        <f t="shared" si="39"/>
        <v>33700</v>
      </c>
      <c r="D92" s="230">
        <f t="shared" si="39"/>
        <v>107199.6</v>
      </c>
      <c r="E92" s="230">
        <f t="shared" si="39"/>
        <v>153853.576</v>
      </c>
      <c r="F92" s="230">
        <f t="shared" si="39"/>
        <v>191401.0827</v>
      </c>
      <c r="G92" s="230">
        <f t="shared" si="39"/>
        <v>226322.9843</v>
      </c>
      <c r="H92" s="230">
        <f t="shared" si="39"/>
        <v>268659.9975</v>
      </c>
      <c r="I92" s="230">
        <f t="shared" si="39"/>
        <v>291574.1363</v>
      </c>
      <c r="J92" s="230">
        <f t="shared" si="39"/>
        <v>296791.819</v>
      </c>
      <c r="K92" s="230">
        <f t="shared" si="39"/>
        <v>302113.8554</v>
      </c>
      <c r="L92" s="230">
        <f t="shared" si="39"/>
        <v>158612.7085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4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66" t="s">
        <v>229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9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48" t="s">
        <v>230</v>
      </c>
      <c r="B96" s="44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44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231" t="s">
        <v>231</v>
      </c>
      <c r="B98" s="146">
        <f t="shared" ref="B98:L98" si="40">B99*B28</f>
        <v>0</v>
      </c>
      <c r="C98" s="147">
        <f t="shared" si="40"/>
        <v>6600</v>
      </c>
      <c r="D98" s="147">
        <f t="shared" si="40"/>
        <v>13953.6</v>
      </c>
      <c r="E98" s="147">
        <f t="shared" si="40"/>
        <v>19289.016</v>
      </c>
      <c r="F98" s="147">
        <f t="shared" si="40"/>
        <v>25405.31952</v>
      </c>
      <c r="G98" s="147">
        <f t="shared" si="40"/>
        <v>31758.55957</v>
      </c>
      <c r="H98" s="147">
        <f t="shared" si="40"/>
        <v>38355.7671</v>
      </c>
      <c r="I98" s="147">
        <f t="shared" si="40"/>
        <v>45204.15951</v>
      </c>
      <c r="J98" s="147">
        <f t="shared" si="40"/>
        <v>46108.2427</v>
      </c>
      <c r="K98" s="147">
        <f t="shared" si="40"/>
        <v>47030.40755</v>
      </c>
      <c r="L98" s="147">
        <f t="shared" si="40"/>
        <v>47971.0157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29" t="s">
        <v>215</v>
      </c>
      <c r="B99" s="157">
        <v>0.0</v>
      </c>
      <c r="C99" s="158">
        <v>60.0</v>
      </c>
      <c r="D99" s="158">
        <f t="shared" ref="D99:L99" si="41">C99*1.02</f>
        <v>61.2</v>
      </c>
      <c r="E99" s="158">
        <f t="shared" si="41"/>
        <v>62.424</v>
      </c>
      <c r="F99" s="158">
        <f t="shared" si="41"/>
        <v>63.67248</v>
      </c>
      <c r="G99" s="158">
        <f t="shared" si="41"/>
        <v>64.9459296</v>
      </c>
      <c r="H99" s="158">
        <f t="shared" si="41"/>
        <v>66.24484819</v>
      </c>
      <c r="I99" s="158">
        <f t="shared" si="41"/>
        <v>67.56974516</v>
      </c>
      <c r="J99" s="158">
        <f t="shared" si="41"/>
        <v>68.92114006</v>
      </c>
      <c r="K99" s="158">
        <f t="shared" si="41"/>
        <v>70.29956286</v>
      </c>
      <c r="L99" s="158">
        <f t="shared" si="41"/>
        <v>71.70555412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44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231" t="s">
        <v>232</v>
      </c>
      <c r="B101" s="84">
        <v>2000.0</v>
      </c>
      <c r="C101" s="147">
        <f t="shared" ref="C101:L101" si="42">C102*C28</f>
        <v>1650</v>
      </c>
      <c r="D101" s="147">
        <f t="shared" si="42"/>
        <v>3420</v>
      </c>
      <c r="E101" s="147">
        <f t="shared" si="42"/>
        <v>4635</v>
      </c>
      <c r="F101" s="147">
        <f t="shared" si="42"/>
        <v>5985</v>
      </c>
      <c r="G101" s="147">
        <f t="shared" si="42"/>
        <v>7335</v>
      </c>
      <c r="H101" s="147">
        <f t="shared" si="42"/>
        <v>8685</v>
      </c>
      <c r="I101" s="147">
        <f t="shared" si="42"/>
        <v>10035</v>
      </c>
      <c r="J101" s="147">
        <f t="shared" si="42"/>
        <v>10035</v>
      </c>
      <c r="K101" s="147">
        <f t="shared" si="42"/>
        <v>10035</v>
      </c>
      <c r="L101" s="147">
        <f t="shared" si="42"/>
        <v>10035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29" t="s">
        <v>215</v>
      </c>
      <c r="B102" s="157"/>
      <c r="C102" s="158">
        <v>15.0</v>
      </c>
      <c r="D102" s="158">
        <v>15.0</v>
      </c>
      <c r="E102" s="158">
        <v>15.0</v>
      </c>
      <c r="F102" s="158">
        <v>15.0</v>
      </c>
      <c r="G102" s="158">
        <v>15.0</v>
      </c>
      <c r="H102" s="158">
        <v>15.0</v>
      </c>
      <c r="I102" s="158">
        <v>15.0</v>
      </c>
      <c r="J102" s="158">
        <v>15.0</v>
      </c>
      <c r="K102" s="158">
        <v>15.0</v>
      </c>
      <c r="L102" s="158">
        <v>15.0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44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231" t="s">
        <v>233</v>
      </c>
      <c r="B104" s="146">
        <f t="shared" ref="B104:L104" si="43">B105*B28+B106*(B27+B26)</f>
        <v>0</v>
      </c>
      <c r="C104" s="147">
        <f t="shared" si="43"/>
        <v>4300</v>
      </c>
      <c r="D104" s="147">
        <f t="shared" si="43"/>
        <v>7580</v>
      </c>
      <c r="E104" s="147">
        <f t="shared" si="43"/>
        <v>9890</v>
      </c>
      <c r="F104" s="147">
        <f t="shared" si="43"/>
        <v>13890</v>
      </c>
      <c r="G104" s="147">
        <f t="shared" si="43"/>
        <v>17090</v>
      </c>
      <c r="H104" s="147">
        <f t="shared" si="43"/>
        <v>19590</v>
      </c>
      <c r="I104" s="147">
        <f t="shared" si="43"/>
        <v>21690</v>
      </c>
      <c r="J104" s="147">
        <f t="shared" si="43"/>
        <v>22090</v>
      </c>
      <c r="K104" s="147">
        <f t="shared" si="43"/>
        <v>22090</v>
      </c>
      <c r="L104" s="147">
        <f t="shared" si="43"/>
        <v>22090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29" t="s">
        <v>215</v>
      </c>
      <c r="B105" s="157">
        <v>0.0</v>
      </c>
      <c r="C105" s="158">
        <v>10.0</v>
      </c>
      <c r="D105" s="158">
        <v>10.0</v>
      </c>
      <c r="E105" s="158">
        <v>10.0</v>
      </c>
      <c r="F105" s="158">
        <v>10.0</v>
      </c>
      <c r="G105" s="158">
        <v>10.0</v>
      </c>
      <c r="H105" s="158">
        <v>10.0</v>
      </c>
      <c r="I105" s="158">
        <v>10.0</v>
      </c>
      <c r="J105" s="158">
        <v>10.0</v>
      </c>
      <c r="K105" s="158">
        <v>10.0</v>
      </c>
      <c r="L105" s="158">
        <v>10.0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29" t="s">
        <v>130</v>
      </c>
      <c r="B106" s="157">
        <v>0.0</v>
      </c>
      <c r="C106" s="158">
        <v>200.0</v>
      </c>
      <c r="D106" s="158">
        <v>200.0</v>
      </c>
      <c r="E106" s="158">
        <v>200.0</v>
      </c>
      <c r="F106" s="158">
        <v>200.0</v>
      </c>
      <c r="G106" s="158">
        <v>200.0</v>
      </c>
      <c r="H106" s="158">
        <v>200.0</v>
      </c>
      <c r="I106" s="158">
        <v>200.0</v>
      </c>
      <c r="J106" s="158">
        <v>200.0</v>
      </c>
      <c r="K106" s="158">
        <v>200.0</v>
      </c>
      <c r="L106" s="158">
        <v>200.0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44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 t="s">
        <v>234</v>
      </c>
      <c r="B108" s="140">
        <v>500.0</v>
      </c>
      <c r="C108" s="170">
        <f t="shared" ref="C108:L108" si="44">C109*(C26+C27)*12</f>
        <v>1920</v>
      </c>
      <c r="D108" s="170">
        <f t="shared" si="44"/>
        <v>3243.6</v>
      </c>
      <c r="E108" s="170">
        <f t="shared" si="44"/>
        <v>4244.832</v>
      </c>
      <c r="F108" s="170">
        <f t="shared" si="44"/>
        <v>6303.57552</v>
      </c>
      <c r="G108" s="170">
        <f t="shared" si="44"/>
        <v>7923.403411</v>
      </c>
      <c r="H108" s="170">
        <f t="shared" si="44"/>
        <v>9141.78905</v>
      </c>
      <c r="I108" s="170">
        <f t="shared" si="44"/>
        <v>10135.46177</v>
      </c>
      <c r="J108" s="170">
        <f t="shared" si="44"/>
        <v>10613.85557</v>
      </c>
      <c r="K108" s="170">
        <f t="shared" si="44"/>
        <v>10826.13268</v>
      </c>
      <c r="L108" s="170">
        <f t="shared" si="44"/>
        <v>11042.65533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29" t="s">
        <v>235</v>
      </c>
      <c r="B109" s="157"/>
      <c r="C109" s="158">
        <v>10.0</v>
      </c>
      <c r="D109" s="158">
        <f t="shared" ref="D109:L109" si="45">C109*1.02</f>
        <v>10.2</v>
      </c>
      <c r="E109" s="158">
        <f t="shared" si="45"/>
        <v>10.404</v>
      </c>
      <c r="F109" s="158">
        <f t="shared" si="45"/>
        <v>10.61208</v>
      </c>
      <c r="G109" s="158">
        <f t="shared" si="45"/>
        <v>10.8243216</v>
      </c>
      <c r="H109" s="158">
        <f t="shared" si="45"/>
        <v>11.04080803</v>
      </c>
      <c r="I109" s="158">
        <f t="shared" si="45"/>
        <v>11.26162419</v>
      </c>
      <c r="J109" s="158">
        <f t="shared" si="45"/>
        <v>11.48685668</v>
      </c>
      <c r="K109" s="158">
        <f t="shared" si="45"/>
        <v>11.71659381</v>
      </c>
      <c r="L109" s="158">
        <f t="shared" si="45"/>
        <v>11.95092569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44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 t="s">
        <v>236</v>
      </c>
      <c r="B111" s="84">
        <f>200</f>
        <v>200</v>
      </c>
      <c r="C111" s="147">
        <f t="shared" ref="C111:L111" si="46">C112*C113+C114*C28</f>
        <v>3400</v>
      </c>
      <c r="D111" s="147">
        <f t="shared" si="46"/>
        <v>6396</v>
      </c>
      <c r="E111" s="147">
        <f t="shared" si="46"/>
        <v>8676.96</v>
      </c>
      <c r="F111" s="147">
        <f t="shared" si="46"/>
        <v>10526.8992</v>
      </c>
      <c r="G111" s="147">
        <f t="shared" si="46"/>
        <v>13027.29648</v>
      </c>
      <c r="H111" s="147">
        <f t="shared" si="46"/>
        <v>15554.69089</v>
      </c>
      <c r="I111" s="147">
        <f t="shared" si="46"/>
        <v>18109.88216</v>
      </c>
      <c r="J111" s="147">
        <f t="shared" si="46"/>
        <v>18204.4798</v>
      </c>
      <c r="K111" s="147">
        <f t="shared" si="46"/>
        <v>18300.9694</v>
      </c>
      <c r="L111" s="147">
        <f t="shared" si="46"/>
        <v>18399.38879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29" t="s">
        <v>237</v>
      </c>
      <c r="B112" s="157"/>
      <c r="C112" s="158">
        <v>600.0</v>
      </c>
      <c r="D112" s="158">
        <f t="shared" ref="D112:L112" si="47">C112*1.02</f>
        <v>612</v>
      </c>
      <c r="E112" s="158">
        <f t="shared" si="47"/>
        <v>624.24</v>
      </c>
      <c r="F112" s="158">
        <f t="shared" si="47"/>
        <v>636.7248</v>
      </c>
      <c r="G112" s="158">
        <f t="shared" si="47"/>
        <v>649.459296</v>
      </c>
      <c r="H112" s="158">
        <f t="shared" si="47"/>
        <v>662.4484819</v>
      </c>
      <c r="I112" s="158">
        <f t="shared" si="47"/>
        <v>675.6974516</v>
      </c>
      <c r="J112" s="158">
        <f t="shared" si="47"/>
        <v>689.2114006</v>
      </c>
      <c r="K112" s="158">
        <f t="shared" si="47"/>
        <v>702.9956286</v>
      </c>
      <c r="L112" s="158">
        <f t="shared" si="47"/>
        <v>717.0555412</v>
      </c>
      <c r="M112" s="10"/>
      <c r="N112" s="239">
        <v>750.0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29" t="s">
        <v>238</v>
      </c>
      <c r="B113" s="185"/>
      <c r="C113" s="186">
        <f>ROUNDUP('Enrollment &amp; Revenue'!C59/100,0)</f>
        <v>2</v>
      </c>
      <c r="D113" s="186">
        <f>ROUNDUP('Enrollment &amp; Revenue'!D59/100,0)</f>
        <v>3</v>
      </c>
      <c r="E113" s="186">
        <f>ROUNDUP('Enrollment &amp; Revenue'!E59/100,0)</f>
        <v>4</v>
      </c>
      <c r="F113" s="186">
        <f>ROUNDUP('Enrollment &amp; Revenue'!F59/100,0)</f>
        <v>4</v>
      </c>
      <c r="G113" s="186">
        <f>ROUNDUP('Enrollment &amp; Revenue'!G59/100,0)</f>
        <v>5</v>
      </c>
      <c r="H113" s="186">
        <f>ROUNDUP('Enrollment &amp; Revenue'!H59/100,0)</f>
        <v>6</v>
      </c>
      <c r="I113" s="186">
        <f>ROUNDUP('Enrollment &amp; Revenue'!I59/100,0)</f>
        <v>7</v>
      </c>
      <c r="J113" s="186">
        <f>ROUNDUP('Enrollment &amp; Revenue'!J59/100,0)</f>
        <v>7</v>
      </c>
      <c r="K113" s="186">
        <f>ROUNDUP('Enrollment &amp; Revenue'!K59/100,0)</f>
        <v>7</v>
      </c>
      <c r="L113" s="186">
        <f>ROUNDUP('Enrollment &amp; Revenue'!L59/100,0)</f>
        <v>7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29" t="s">
        <v>239</v>
      </c>
      <c r="B114" s="157"/>
      <c r="C114" s="240">
        <v>20.0</v>
      </c>
      <c r="D114" s="240">
        <v>20.0</v>
      </c>
      <c r="E114" s="240">
        <v>20.0</v>
      </c>
      <c r="F114" s="240">
        <v>20.0</v>
      </c>
      <c r="G114" s="240">
        <v>20.0</v>
      </c>
      <c r="H114" s="240">
        <v>20.0</v>
      </c>
      <c r="I114" s="240">
        <v>20.0</v>
      </c>
      <c r="J114" s="240">
        <v>20.0</v>
      </c>
      <c r="K114" s="240">
        <v>20.0</v>
      </c>
      <c r="L114" s="240">
        <v>20.0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241" t="s">
        <v>240</v>
      </c>
      <c r="B115" s="41">
        <f t="shared" ref="B115:L115" si="48">B98+B101+B104+B108+B111</f>
        <v>2700</v>
      </c>
      <c r="C115" s="42">
        <f t="shared" si="48"/>
        <v>17870</v>
      </c>
      <c r="D115" s="42">
        <f t="shared" si="48"/>
        <v>34593.2</v>
      </c>
      <c r="E115" s="42">
        <f t="shared" si="48"/>
        <v>46735.808</v>
      </c>
      <c r="F115" s="42">
        <f t="shared" si="48"/>
        <v>62110.79424</v>
      </c>
      <c r="G115" s="42">
        <f t="shared" si="48"/>
        <v>77134.25947</v>
      </c>
      <c r="H115" s="42">
        <f t="shared" si="48"/>
        <v>91327.24705</v>
      </c>
      <c r="I115" s="42">
        <f t="shared" si="48"/>
        <v>105174.5034</v>
      </c>
      <c r="J115" s="42">
        <f t="shared" si="48"/>
        <v>107051.5781</v>
      </c>
      <c r="K115" s="42">
        <f t="shared" si="48"/>
        <v>108282.5096</v>
      </c>
      <c r="L115" s="42">
        <f t="shared" si="48"/>
        <v>109538.0598</v>
      </c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29"/>
      <c r="B116" s="201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48" t="s">
        <v>241</v>
      </c>
      <c r="B117" s="201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231" t="s">
        <v>242</v>
      </c>
      <c r="B118" s="84">
        <v>3500.0</v>
      </c>
      <c r="C118" s="242">
        <v>10000.0</v>
      </c>
      <c r="D118" s="170">
        <f t="shared" ref="D118:L118" si="49">C118*(1+D119)</f>
        <v>10200</v>
      </c>
      <c r="E118" s="170">
        <f t="shared" si="49"/>
        <v>10404</v>
      </c>
      <c r="F118" s="170">
        <f t="shared" si="49"/>
        <v>10612.08</v>
      </c>
      <c r="G118" s="170">
        <f t="shared" si="49"/>
        <v>10824.3216</v>
      </c>
      <c r="H118" s="170">
        <f t="shared" si="49"/>
        <v>11040.80803</v>
      </c>
      <c r="I118" s="170">
        <f t="shared" si="49"/>
        <v>11261.62419</v>
      </c>
      <c r="J118" s="170">
        <f t="shared" si="49"/>
        <v>11486.85668</v>
      </c>
      <c r="K118" s="170">
        <f t="shared" si="49"/>
        <v>11716.59381</v>
      </c>
      <c r="L118" s="170">
        <f t="shared" si="49"/>
        <v>11950.92569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29" t="s">
        <v>160</v>
      </c>
      <c r="B119" s="198"/>
      <c r="C119" s="199"/>
      <c r="D119" s="71">
        <v>0.02</v>
      </c>
      <c r="E119" s="71">
        <v>0.02</v>
      </c>
      <c r="F119" s="71">
        <v>0.02</v>
      </c>
      <c r="G119" s="71">
        <v>0.02</v>
      </c>
      <c r="H119" s="71">
        <v>0.02</v>
      </c>
      <c r="I119" s="71">
        <v>0.02</v>
      </c>
      <c r="J119" s="71">
        <v>0.02</v>
      </c>
      <c r="K119" s="71">
        <v>0.02</v>
      </c>
      <c r="L119" s="71">
        <v>0.02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243" t="s">
        <v>243</v>
      </c>
      <c r="B120" s="140">
        <v>40000.0</v>
      </c>
      <c r="C120" s="139">
        <v>10000.0</v>
      </c>
      <c r="D120" s="139">
        <v>20000.0</v>
      </c>
      <c r="E120" s="139">
        <v>20000.0</v>
      </c>
      <c r="F120" s="139">
        <v>20000.0</v>
      </c>
      <c r="G120" s="139">
        <v>20000.0</v>
      </c>
      <c r="H120" s="139">
        <v>20000.0</v>
      </c>
      <c r="I120" s="139">
        <v>20000.0</v>
      </c>
      <c r="J120" s="139">
        <v>20000.0</v>
      </c>
      <c r="K120" s="139">
        <v>20000.0</v>
      </c>
      <c r="L120" s="139">
        <v>20000.0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231" t="s">
        <v>244</v>
      </c>
      <c r="B121" s="140">
        <v>3534.0</v>
      </c>
      <c r="C121" s="244">
        <v>5000.0</v>
      </c>
      <c r="D121" s="170">
        <f t="shared" ref="D121:L121" si="50">C121*(1+D122)</f>
        <v>5100</v>
      </c>
      <c r="E121" s="170">
        <f t="shared" si="50"/>
        <v>5202</v>
      </c>
      <c r="F121" s="170">
        <f t="shared" si="50"/>
        <v>5306.04</v>
      </c>
      <c r="G121" s="170">
        <f t="shared" si="50"/>
        <v>5412.1608</v>
      </c>
      <c r="H121" s="170">
        <f t="shared" si="50"/>
        <v>5520.404016</v>
      </c>
      <c r="I121" s="170">
        <f t="shared" si="50"/>
        <v>5630.812096</v>
      </c>
      <c r="J121" s="170">
        <f t="shared" si="50"/>
        <v>5743.428338</v>
      </c>
      <c r="K121" s="170">
        <f t="shared" si="50"/>
        <v>5858.296905</v>
      </c>
      <c r="L121" s="170">
        <f t="shared" si="50"/>
        <v>5975.462843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29" t="s">
        <v>160</v>
      </c>
      <c r="B122" s="70"/>
      <c r="C122" s="71"/>
      <c r="D122" s="71">
        <v>0.02</v>
      </c>
      <c r="E122" s="71">
        <v>0.02</v>
      </c>
      <c r="F122" s="71">
        <v>0.02</v>
      </c>
      <c r="G122" s="71">
        <v>0.02</v>
      </c>
      <c r="H122" s="71">
        <v>0.02</v>
      </c>
      <c r="I122" s="71">
        <v>0.02</v>
      </c>
      <c r="J122" s="71">
        <v>0.02</v>
      </c>
      <c r="K122" s="71">
        <v>0.02</v>
      </c>
      <c r="L122" s="71">
        <v>0.02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231" t="s">
        <v>245</v>
      </c>
      <c r="B123" s="138">
        <v>39802.0</v>
      </c>
      <c r="C123" s="85">
        <v>40000.0</v>
      </c>
      <c r="D123" s="170">
        <f>C123*(1+D124)</f>
        <v>40800</v>
      </c>
      <c r="E123" s="173">
        <v>0.0</v>
      </c>
      <c r="F123" s="170">
        <f t="shared" ref="F123:L123" si="51">E123*(1+F124)</f>
        <v>0</v>
      </c>
      <c r="G123" s="170">
        <f t="shared" si="51"/>
        <v>0</v>
      </c>
      <c r="H123" s="170">
        <f t="shared" si="51"/>
        <v>0</v>
      </c>
      <c r="I123" s="170">
        <f t="shared" si="51"/>
        <v>0</v>
      </c>
      <c r="J123" s="170">
        <f t="shared" si="51"/>
        <v>0</v>
      </c>
      <c r="K123" s="170">
        <f t="shared" si="51"/>
        <v>0</v>
      </c>
      <c r="L123" s="170">
        <f t="shared" si="51"/>
        <v>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29" t="s">
        <v>160</v>
      </c>
      <c r="B124" s="198"/>
      <c r="C124" s="199">
        <v>0.0</v>
      </c>
      <c r="D124" s="71">
        <v>0.02</v>
      </c>
      <c r="E124" s="71">
        <v>0.02</v>
      </c>
      <c r="F124" s="71">
        <v>0.02</v>
      </c>
      <c r="G124" s="71">
        <v>0.02</v>
      </c>
      <c r="H124" s="71">
        <v>0.02</v>
      </c>
      <c r="I124" s="71">
        <v>0.02</v>
      </c>
      <c r="J124" s="71">
        <v>0.02</v>
      </c>
      <c r="K124" s="71">
        <v>0.02</v>
      </c>
      <c r="L124" s="71">
        <v>0.02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231" t="s">
        <v>246</v>
      </c>
      <c r="B125" s="138">
        <v>0.0</v>
      </c>
      <c r="C125" s="85">
        <v>11000.0</v>
      </c>
      <c r="D125" s="170">
        <f t="shared" ref="D125:L125" si="52">C125*(1+D126)</f>
        <v>11220</v>
      </c>
      <c r="E125" s="170">
        <f t="shared" si="52"/>
        <v>11444.4</v>
      </c>
      <c r="F125" s="170">
        <f t="shared" si="52"/>
        <v>11673.288</v>
      </c>
      <c r="G125" s="170">
        <f t="shared" si="52"/>
        <v>11906.75376</v>
      </c>
      <c r="H125" s="170">
        <f t="shared" si="52"/>
        <v>12144.88884</v>
      </c>
      <c r="I125" s="170">
        <f t="shared" si="52"/>
        <v>12387.78661</v>
      </c>
      <c r="J125" s="170">
        <f t="shared" si="52"/>
        <v>12635.54234</v>
      </c>
      <c r="K125" s="170">
        <f t="shared" si="52"/>
        <v>12888.25319</v>
      </c>
      <c r="L125" s="170">
        <f t="shared" si="52"/>
        <v>13146.01825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29" t="s">
        <v>160</v>
      </c>
      <c r="B126" s="198"/>
      <c r="C126" s="199">
        <v>0.0</v>
      </c>
      <c r="D126" s="71">
        <v>0.02</v>
      </c>
      <c r="E126" s="71">
        <v>0.02</v>
      </c>
      <c r="F126" s="71">
        <v>0.02</v>
      </c>
      <c r="G126" s="71">
        <v>0.02</v>
      </c>
      <c r="H126" s="71">
        <v>0.02</v>
      </c>
      <c r="I126" s="71">
        <v>0.02</v>
      </c>
      <c r="J126" s="71">
        <v>0.02</v>
      </c>
      <c r="K126" s="71">
        <v>0.02</v>
      </c>
      <c r="L126" s="71">
        <v>0.02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231" t="s">
        <v>247</v>
      </c>
      <c r="B127" s="140">
        <v>2000.0</v>
      </c>
      <c r="C127" s="85">
        <f t="shared" ref="C127:L127" si="53">+B127*1.02</f>
        <v>2040</v>
      </c>
      <c r="D127" s="85">
        <f t="shared" si="53"/>
        <v>2080.8</v>
      </c>
      <c r="E127" s="85">
        <f t="shared" si="53"/>
        <v>2122.416</v>
      </c>
      <c r="F127" s="85">
        <f t="shared" si="53"/>
        <v>2164.86432</v>
      </c>
      <c r="G127" s="85">
        <f t="shared" si="53"/>
        <v>2208.161606</v>
      </c>
      <c r="H127" s="85">
        <f t="shared" si="53"/>
        <v>2252.324839</v>
      </c>
      <c r="I127" s="85">
        <f t="shared" si="53"/>
        <v>2297.371335</v>
      </c>
      <c r="J127" s="85">
        <f t="shared" si="53"/>
        <v>2343.318762</v>
      </c>
      <c r="K127" s="85">
        <f t="shared" si="53"/>
        <v>2390.185137</v>
      </c>
      <c r="L127" s="85">
        <f t="shared" si="53"/>
        <v>2437.98884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231" t="s">
        <v>10</v>
      </c>
      <c r="B128" s="169">
        <f>B129*(B26+B27)*12</f>
        <v>0</v>
      </c>
      <c r="C128" s="170">
        <f t="shared" ref="C128:L128" si="54">120*12*3+(C26-3)*6.6*12+C27*6.6*10</f>
        <v>5204.4</v>
      </c>
      <c r="D128" s="170">
        <f t="shared" si="54"/>
        <v>5943.6</v>
      </c>
      <c r="E128" s="170">
        <f t="shared" si="54"/>
        <v>6471.6</v>
      </c>
      <c r="F128" s="170">
        <f t="shared" si="54"/>
        <v>7567.2</v>
      </c>
      <c r="G128" s="170">
        <f t="shared" si="54"/>
        <v>8359.2</v>
      </c>
      <c r="H128" s="170">
        <f t="shared" si="54"/>
        <v>8913.6</v>
      </c>
      <c r="I128" s="170">
        <f t="shared" si="54"/>
        <v>9309.6</v>
      </c>
      <c r="J128" s="170">
        <f t="shared" si="54"/>
        <v>9468</v>
      </c>
      <c r="K128" s="170">
        <f t="shared" si="54"/>
        <v>9468</v>
      </c>
      <c r="L128" s="170">
        <f t="shared" si="54"/>
        <v>9468</v>
      </c>
      <c r="M128" s="10"/>
      <c r="N128" s="245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29" t="s">
        <v>235</v>
      </c>
      <c r="B129" s="157"/>
      <c r="C129" s="246">
        <f t="shared" ref="C129:L129" si="55">C128/(C26+C27)/12</f>
        <v>27.10625</v>
      </c>
      <c r="D129" s="246">
        <f t="shared" si="55"/>
        <v>18.69056604</v>
      </c>
      <c r="E129" s="246">
        <f t="shared" si="55"/>
        <v>15.86176471</v>
      </c>
      <c r="F129" s="246">
        <f t="shared" si="55"/>
        <v>12.73939394</v>
      </c>
      <c r="G129" s="246">
        <f t="shared" si="55"/>
        <v>11.41967213</v>
      </c>
      <c r="H129" s="246">
        <f t="shared" si="55"/>
        <v>10.76521739</v>
      </c>
      <c r="I129" s="246">
        <f t="shared" si="55"/>
        <v>10.344</v>
      </c>
      <c r="J129" s="246">
        <f t="shared" si="55"/>
        <v>10.24675325</v>
      </c>
      <c r="K129" s="246">
        <f t="shared" si="55"/>
        <v>10.24675325</v>
      </c>
      <c r="L129" s="246">
        <f t="shared" si="55"/>
        <v>10.24675325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231" t="s">
        <v>248</v>
      </c>
      <c r="B130" s="138">
        <v>0.0</v>
      </c>
      <c r="C130" s="190">
        <v>16000.0</v>
      </c>
      <c r="D130" s="170">
        <f t="shared" ref="D130:L130" si="56">+D131*D33</f>
        <v>34000</v>
      </c>
      <c r="E130" s="170">
        <f t="shared" si="56"/>
        <v>46000</v>
      </c>
      <c r="F130" s="170">
        <f t="shared" si="56"/>
        <v>60000</v>
      </c>
      <c r="G130" s="170">
        <f t="shared" si="56"/>
        <v>73000</v>
      </c>
      <c r="H130" s="170">
        <f t="shared" si="56"/>
        <v>87000</v>
      </c>
      <c r="I130" s="170">
        <f t="shared" si="56"/>
        <v>100000</v>
      </c>
      <c r="J130" s="170">
        <f t="shared" si="56"/>
        <v>100000</v>
      </c>
      <c r="K130" s="170">
        <f t="shared" si="56"/>
        <v>100000</v>
      </c>
      <c r="L130" s="170">
        <f t="shared" si="56"/>
        <v>100000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29" t="s">
        <v>249</v>
      </c>
      <c r="B131" s="198"/>
      <c r="C131" s="158">
        <v>1000.0</v>
      </c>
      <c r="D131" s="158">
        <v>1000.0</v>
      </c>
      <c r="E131" s="158">
        <v>1000.0</v>
      </c>
      <c r="F131" s="158">
        <v>1000.0</v>
      </c>
      <c r="G131" s="158">
        <v>1000.0</v>
      </c>
      <c r="H131" s="158">
        <v>1000.0</v>
      </c>
      <c r="I131" s="158">
        <v>1000.0</v>
      </c>
      <c r="J131" s="158">
        <v>1000.0</v>
      </c>
      <c r="K131" s="158">
        <v>1000.0</v>
      </c>
      <c r="L131" s="158">
        <v>1000.0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231" t="s">
        <v>250</v>
      </c>
      <c r="B132" s="138">
        <v>0.0</v>
      </c>
      <c r="C132" s="96">
        <f>'Enrollment &amp; Revenue'!C70 * 'Enrollment &amp; Revenue'!C59 * 0.03</f>
        <v>53834.7914</v>
      </c>
      <c r="D132" s="96">
        <f>'Enrollment &amp; Revenue'!D70 * 'Enrollment &amp; Revenue'!D59 * 0.03</f>
        <v>113816.5372</v>
      </c>
      <c r="E132" s="96">
        <f>'Enrollment &amp; Revenue'!E70 * 'Enrollment &amp; Revenue'!E59 * 0.03</f>
        <v>157336.3868</v>
      </c>
      <c r="F132" s="96">
        <f>'Enrollment &amp; Revenue'!F70 * 'Enrollment &amp; Revenue'!F59 * 0.03</f>
        <v>207225.7692</v>
      </c>
      <c r="G132" s="96">
        <f>'Enrollment &amp; Revenue'!G70 * 'Enrollment &amp; Revenue'!G59 * 0.03</f>
        <v>259047.7924</v>
      </c>
      <c r="H132" s="96">
        <f>'Enrollment &amp; Revenue'!H70 * 'Enrollment &amp; Revenue'!H59 * 0.03</f>
        <v>312859.8062</v>
      </c>
      <c r="I132" s="96">
        <f>'Enrollment &amp; Revenue'!I70 * 'Enrollment &amp; Revenue'!I59 * 0.03</f>
        <v>368720.6814</v>
      </c>
      <c r="J132" s="96">
        <f>'Enrollment &amp; Revenue'!J70 * 'Enrollment &amp; Revenue'!J59 * 0.03</f>
        <v>376095.095</v>
      </c>
      <c r="K132" s="96">
        <f>'Enrollment &amp; Revenue'!K70 * 'Enrollment &amp; Revenue'!K59 * 0.03</f>
        <v>383616.9969</v>
      </c>
      <c r="L132" s="96">
        <f>'Enrollment &amp; Revenue'!L70 * 'Enrollment &amp; Revenue'!L59 * 0.03</f>
        <v>391289.3369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231" t="s">
        <v>251</v>
      </c>
      <c r="B133" s="138">
        <v>0.0</v>
      </c>
      <c r="C133" s="170">
        <f t="shared" ref="C133:L133" si="57">C134*C9</f>
        <v>60500</v>
      </c>
      <c r="D133" s="170">
        <f t="shared" si="57"/>
        <v>127908</v>
      </c>
      <c r="E133" s="170">
        <f t="shared" si="57"/>
        <v>176815.98</v>
      </c>
      <c r="F133" s="170">
        <f t="shared" si="57"/>
        <v>232882.0956</v>
      </c>
      <c r="G133" s="170">
        <f t="shared" si="57"/>
        <v>291120.1294</v>
      </c>
      <c r="H133" s="170">
        <f t="shared" si="57"/>
        <v>351594.5318</v>
      </c>
      <c r="I133" s="170">
        <f t="shared" si="57"/>
        <v>414371.4622</v>
      </c>
      <c r="J133" s="170">
        <f t="shared" si="57"/>
        <v>422658.8914</v>
      </c>
      <c r="K133" s="170">
        <f t="shared" si="57"/>
        <v>431112.0692</v>
      </c>
      <c r="L133" s="170">
        <f t="shared" si="57"/>
        <v>439734.3106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29" t="s">
        <v>252</v>
      </c>
      <c r="B134" s="198"/>
      <c r="C134" s="240">
        <v>550.0</v>
      </c>
      <c r="D134" s="240">
        <f t="shared" ref="D134:L134" si="58">+C134*1.02</f>
        <v>561</v>
      </c>
      <c r="E134" s="240">
        <f t="shared" si="58"/>
        <v>572.22</v>
      </c>
      <c r="F134" s="240">
        <f t="shared" si="58"/>
        <v>583.6644</v>
      </c>
      <c r="G134" s="240">
        <f t="shared" si="58"/>
        <v>595.337688</v>
      </c>
      <c r="H134" s="240">
        <f t="shared" si="58"/>
        <v>607.2444418</v>
      </c>
      <c r="I134" s="240">
        <f t="shared" si="58"/>
        <v>619.3893306</v>
      </c>
      <c r="J134" s="240">
        <f t="shared" si="58"/>
        <v>631.7771172</v>
      </c>
      <c r="K134" s="240">
        <f t="shared" si="58"/>
        <v>644.4126596</v>
      </c>
      <c r="L134" s="240">
        <f t="shared" si="58"/>
        <v>657.3009127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241" t="s">
        <v>253</v>
      </c>
      <c r="B135" s="41">
        <f t="shared" ref="B135:L135" si="59">B118+B120+B121+B123+B125+B127+B128+B130+B132+B133</f>
        <v>88836</v>
      </c>
      <c r="C135" s="42">
        <f t="shared" si="59"/>
        <v>213579.1914</v>
      </c>
      <c r="D135" s="42">
        <f t="shared" si="59"/>
        <v>371068.9372</v>
      </c>
      <c r="E135" s="42">
        <f t="shared" si="59"/>
        <v>435796.7828</v>
      </c>
      <c r="F135" s="42">
        <f t="shared" si="59"/>
        <v>557431.3371</v>
      </c>
      <c r="G135" s="42">
        <f t="shared" si="59"/>
        <v>681878.5196</v>
      </c>
      <c r="H135" s="42">
        <f t="shared" si="59"/>
        <v>811326.3637</v>
      </c>
      <c r="I135" s="42">
        <f t="shared" si="59"/>
        <v>943979.3378</v>
      </c>
      <c r="J135" s="42">
        <f t="shared" si="59"/>
        <v>960431.1326</v>
      </c>
      <c r="K135" s="42">
        <f t="shared" si="59"/>
        <v>977050.3952</v>
      </c>
      <c r="L135" s="42">
        <f t="shared" si="59"/>
        <v>994002.0431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4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228" t="s">
        <v>254</v>
      </c>
      <c r="B137" s="229">
        <f t="shared" ref="B137:L137" si="60">B115+B135</f>
        <v>91536</v>
      </c>
      <c r="C137" s="230">
        <f t="shared" si="60"/>
        <v>231449.1914</v>
      </c>
      <c r="D137" s="230">
        <f t="shared" si="60"/>
        <v>405662.1372</v>
      </c>
      <c r="E137" s="230">
        <f t="shared" si="60"/>
        <v>482532.5908</v>
      </c>
      <c r="F137" s="230">
        <f t="shared" si="60"/>
        <v>619542.1314</v>
      </c>
      <c r="G137" s="230">
        <f t="shared" si="60"/>
        <v>759012.779</v>
      </c>
      <c r="H137" s="230">
        <f t="shared" si="60"/>
        <v>902653.6107</v>
      </c>
      <c r="I137" s="230">
        <f t="shared" si="60"/>
        <v>1049153.841</v>
      </c>
      <c r="J137" s="230">
        <f t="shared" si="60"/>
        <v>1067482.711</v>
      </c>
      <c r="K137" s="230">
        <f t="shared" si="60"/>
        <v>1085332.905</v>
      </c>
      <c r="L137" s="230">
        <f t="shared" si="60"/>
        <v>1103540.103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4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66" t="s">
        <v>255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9"/>
      <c r="B140" s="25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48" t="s">
        <v>256</v>
      </c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247" t="s">
        <v>257</v>
      </c>
      <c r="B142" s="248">
        <f>B143*(C$29-B$29)</f>
        <v>13750</v>
      </c>
      <c r="C142" s="206">
        <f t="shared" ref="C142:K142" si="61">C143*(D29-C29)</f>
        <v>11220</v>
      </c>
      <c r="D142" s="206">
        <f t="shared" si="61"/>
        <v>8583.3</v>
      </c>
      <c r="E142" s="206">
        <f t="shared" si="61"/>
        <v>8754.966</v>
      </c>
      <c r="F142" s="206">
        <f t="shared" si="61"/>
        <v>8930.06532</v>
      </c>
      <c r="G142" s="206">
        <f t="shared" si="61"/>
        <v>9108.666626</v>
      </c>
      <c r="H142" s="206">
        <f t="shared" si="61"/>
        <v>9290.839959</v>
      </c>
      <c r="I142" s="206">
        <f t="shared" si="61"/>
        <v>0</v>
      </c>
      <c r="J142" s="206">
        <f t="shared" si="61"/>
        <v>0</v>
      </c>
      <c r="K142" s="206">
        <f t="shared" si="61"/>
        <v>0</v>
      </c>
      <c r="L142" s="206">
        <v>0.0</v>
      </c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ht="15.75" customHeight="1">
      <c r="A143" s="193" t="s">
        <v>258</v>
      </c>
      <c r="B143" s="249">
        <v>2750.0</v>
      </c>
      <c r="C143" s="225">
        <f t="shared" ref="C143:L143" si="62">+B143*1.02</f>
        <v>2805</v>
      </c>
      <c r="D143" s="225">
        <f t="shared" si="62"/>
        <v>2861.1</v>
      </c>
      <c r="E143" s="225">
        <f t="shared" si="62"/>
        <v>2918.322</v>
      </c>
      <c r="F143" s="225">
        <f t="shared" si="62"/>
        <v>2976.68844</v>
      </c>
      <c r="G143" s="225">
        <f t="shared" si="62"/>
        <v>3036.222209</v>
      </c>
      <c r="H143" s="225">
        <f t="shared" si="62"/>
        <v>3096.946653</v>
      </c>
      <c r="I143" s="225">
        <f t="shared" si="62"/>
        <v>3158.885586</v>
      </c>
      <c r="J143" s="225">
        <f t="shared" si="62"/>
        <v>3222.063298</v>
      </c>
      <c r="K143" s="225">
        <f t="shared" si="62"/>
        <v>3286.504564</v>
      </c>
      <c r="L143" s="225">
        <f t="shared" si="62"/>
        <v>3352.234655</v>
      </c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ht="15.75" customHeight="1">
      <c r="A144" s="247" t="s">
        <v>259</v>
      </c>
      <c r="B144" s="250">
        <v>0.0</v>
      </c>
      <c r="C144" s="206">
        <v>0.0</v>
      </c>
      <c r="D144" s="206">
        <v>5100.0</v>
      </c>
      <c r="E144" s="206">
        <v>4421.700000000001</v>
      </c>
      <c r="F144" s="206">
        <v>7693.757999999999</v>
      </c>
      <c r="G144" s="206">
        <v>6223.984920000001</v>
      </c>
      <c r="H144" s="206">
        <v>6000.0</v>
      </c>
      <c r="I144" s="206">
        <v>6000.0</v>
      </c>
      <c r="J144" s="206">
        <v>6000.0</v>
      </c>
      <c r="K144" s="206">
        <v>6000.0</v>
      </c>
      <c r="L144" s="206">
        <v>6000.0</v>
      </c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ht="15.75" customHeight="1">
      <c r="A145" s="193" t="s">
        <v>258</v>
      </c>
      <c r="B145" s="251"/>
      <c r="C145" s="225">
        <v>1500.0</v>
      </c>
      <c r="D145" s="225">
        <v>1500.0</v>
      </c>
      <c r="E145" s="225">
        <v>1500.0</v>
      </c>
      <c r="F145" s="225">
        <v>1500.0</v>
      </c>
      <c r="G145" s="225">
        <v>1500.0</v>
      </c>
      <c r="H145" s="225">
        <v>1500.0</v>
      </c>
      <c r="I145" s="225">
        <v>1500.0</v>
      </c>
      <c r="J145" s="225">
        <v>1500.0</v>
      </c>
      <c r="K145" s="225">
        <v>1500.0</v>
      </c>
      <c r="L145" s="225">
        <v>1500.0</v>
      </c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ht="15.75" customHeight="1">
      <c r="A146" s="231" t="s">
        <v>260</v>
      </c>
      <c r="B146" s="252">
        <v>0.0</v>
      </c>
      <c r="C146" s="253">
        <v>0.0</v>
      </c>
      <c r="D146" s="253">
        <v>0.0</v>
      </c>
      <c r="E146" s="253">
        <v>0.0</v>
      </c>
      <c r="F146" s="253">
        <v>0.0</v>
      </c>
      <c r="G146" s="253">
        <v>0.0</v>
      </c>
      <c r="H146" s="253">
        <v>0.0</v>
      </c>
      <c r="I146" s="253">
        <v>0.0</v>
      </c>
      <c r="J146" s="233">
        <f t="shared" ref="J146:L146" si="63">B142+B144</f>
        <v>13750</v>
      </c>
      <c r="K146" s="233">
        <f t="shared" si="63"/>
        <v>11220</v>
      </c>
      <c r="L146" s="233">
        <f t="shared" si="63"/>
        <v>13683.3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36" t="s">
        <v>261</v>
      </c>
      <c r="B147" s="41">
        <f>B146+B144+B142</f>
        <v>13750</v>
      </c>
      <c r="C147" s="42">
        <f t="shared" ref="C147:L147" si="64">C146+C142</f>
        <v>11220</v>
      </c>
      <c r="D147" s="42">
        <f t="shared" si="64"/>
        <v>8583.3</v>
      </c>
      <c r="E147" s="42">
        <f t="shared" si="64"/>
        <v>8754.966</v>
      </c>
      <c r="F147" s="42">
        <f t="shared" si="64"/>
        <v>8930.06532</v>
      </c>
      <c r="G147" s="42">
        <f t="shared" si="64"/>
        <v>9108.666626</v>
      </c>
      <c r="H147" s="42">
        <f t="shared" si="64"/>
        <v>9290.839959</v>
      </c>
      <c r="I147" s="42">
        <f t="shared" si="64"/>
        <v>0</v>
      </c>
      <c r="J147" s="42">
        <f t="shared" si="64"/>
        <v>13750</v>
      </c>
      <c r="K147" s="42">
        <f t="shared" si="64"/>
        <v>11220</v>
      </c>
      <c r="L147" s="42">
        <f t="shared" si="64"/>
        <v>13683.3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44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 t="s">
        <v>262</v>
      </c>
      <c r="B149" s="254">
        <v>0.0</v>
      </c>
      <c r="C149" s="170">
        <f t="shared" ref="C149:L149" si="65">C39*C150</f>
        <v>0</v>
      </c>
      <c r="D149" s="170">
        <f t="shared" si="65"/>
        <v>7275</v>
      </c>
      <c r="E149" s="170">
        <f t="shared" si="65"/>
        <v>14325</v>
      </c>
      <c r="F149" s="170">
        <f t="shared" si="65"/>
        <v>12075</v>
      </c>
      <c r="G149" s="170">
        <f t="shared" si="65"/>
        <v>10950</v>
      </c>
      <c r="H149" s="170">
        <f t="shared" si="65"/>
        <v>10800</v>
      </c>
      <c r="I149" s="170">
        <f t="shared" si="65"/>
        <v>8700</v>
      </c>
      <c r="J149" s="170">
        <f t="shared" si="65"/>
        <v>8100</v>
      </c>
      <c r="K149" s="170">
        <f t="shared" si="65"/>
        <v>8100</v>
      </c>
      <c r="L149" s="170">
        <f t="shared" si="65"/>
        <v>8100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29" t="s">
        <v>263</v>
      </c>
      <c r="B150" s="157">
        <v>0.0</v>
      </c>
      <c r="C150" s="255">
        <v>0.0</v>
      </c>
      <c r="D150" s="225">
        <v>750.0</v>
      </c>
      <c r="E150" s="225">
        <v>750.0</v>
      </c>
      <c r="F150" s="225">
        <v>750.0</v>
      </c>
      <c r="G150" s="225">
        <v>750.0</v>
      </c>
      <c r="H150" s="225">
        <v>750.0</v>
      </c>
      <c r="I150" s="225">
        <v>750.0</v>
      </c>
      <c r="J150" s="225">
        <v>750.0</v>
      </c>
      <c r="K150" s="225">
        <v>750.0</v>
      </c>
      <c r="L150" s="225">
        <v>750.0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 t="s">
        <v>264</v>
      </c>
      <c r="B151" s="256">
        <v>0.0</v>
      </c>
      <c r="C151" s="257">
        <v>0.0</v>
      </c>
      <c r="D151" s="257">
        <v>0.0</v>
      </c>
      <c r="E151" s="257">
        <v>0.0</v>
      </c>
      <c r="F151" s="257">
        <v>0.0</v>
      </c>
      <c r="G151" s="257">
        <v>0.0</v>
      </c>
      <c r="H151" s="257">
        <v>0.0</v>
      </c>
      <c r="I151" s="257">
        <v>0.0</v>
      </c>
      <c r="J151" s="257">
        <v>0.0</v>
      </c>
      <c r="K151" s="257">
        <v>0.0</v>
      </c>
      <c r="L151" s="257">
        <v>0.0</v>
      </c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 t="s">
        <v>265</v>
      </c>
      <c r="B152" s="256">
        <v>0.0</v>
      </c>
      <c r="C152" s="257">
        <v>0.0</v>
      </c>
      <c r="D152" s="257">
        <v>0.0</v>
      </c>
      <c r="E152" s="257">
        <v>0.0</v>
      </c>
      <c r="F152" s="257">
        <v>0.0</v>
      </c>
      <c r="G152" s="257">
        <v>0.0</v>
      </c>
      <c r="H152" s="257">
        <v>0.0</v>
      </c>
      <c r="I152" s="257">
        <v>0.0</v>
      </c>
      <c r="J152" s="257">
        <v>0.0</v>
      </c>
      <c r="K152" s="257">
        <v>0.0</v>
      </c>
      <c r="L152" s="257">
        <v>0.0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231" t="s">
        <v>266</v>
      </c>
      <c r="B153" s="256">
        <v>0.0</v>
      </c>
      <c r="C153" s="257">
        <v>0.0</v>
      </c>
      <c r="D153" s="257">
        <v>0.0</v>
      </c>
      <c r="E153" s="257">
        <v>0.0</v>
      </c>
      <c r="F153" s="257">
        <v>0.0</v>
      </c>
      <c r="G153" s="257">
        <v>0.0</v>
      </c>
      <c r="H153" s="257">
        <v>0.0</v>
      </c>
      <c r="I153" s="257">
        <v>0.0</v>
      </c>
      <c r="J153" s="257">
        <v>0.0</v>
      </c>
      <c r="K153" s="257">
        <v>0.0</v>
      </c>
      <c r="L153" s="257">
        <v>0.0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36" t="s">
        <v>267</v>
      </c>
      <c r="B154" s="41">
        <f t="shared" ref="B154:L154" si="66">B149+B151+B152+B153</f>
        <v>0</v>
      </c>
      <c r="C154" s="42">
        <f t="shared" si="66"/>
        <v>0</v>
      </c>
      <c r="D154" s="42">
        <f t="shared" si="66"/>
        <v>7275</v>
      </c>
      <c r="E154" s="42">
        <f t="shared" si="66"/>
        <v>14325</v>
      </c>
      <c r="F154" s="42">
        <f t="shared" si="66"/>
        <v>12075</v>
      </c>
      <c r="G154" s="42">
        <f t="shared" si="66"/>
        <v>10950</v>
      </c>
      <c r="H154" s="42">
        <f t="shared" si="66"/>
        <v>10800</v>
      </c>
      <c r="I154" s="42">
        <f t="shared" si="66"/>
        <v>8700</v>
      </c>
      <c r="J154" s="42">
        <f t="shared" si="66"/>
        <v>8100</v>
      </c>
      <c r="K154" s="42">
        <f t="shared" si="66"/>
        <v>8100</v>
      </c>
      <c r="L154" s="42">
        <f t="shared" si="66"/>
        <v>8100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44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228" t="s">
        <v>268</v>
      </c>
      <c r="B156" s="229">
        <f t="shared" ref="B156:L156" si="67">B147+B154</f>
        <v>13750</v>
      </c>
      <c r="C156" s="230">
        <f t="shared" si="67"/>
        <v>11220</v>
      </c>
      <c r="D156" s="230">
        <f t="shared" si="67"/>
        <v>15858.3</v>
      </c>
      <c r="E156" s="230">
        <f t="shared" si="67"/>
        <v>23079.966</v>
      </c>
      <c r="F156" s="230">
        <f t="shared" si="67"/>
        <v>21005.06532</v>
      </c>
      <c r="G156" s="230">
        <f t="shared" si="67"/>
        <v>20058.66663</v>
      </c>
      <c r="H156" s="230">
        <f t="shared" si="67"/>
        <v>20090.83996</v>
      </c>
      <c r="I156" s="230">
        <f t="shared" si="67"/>
        <v>8700</v>
      </c>
      <c r="J156" s="230">
        <f t="shared" si="67"/>
        <v>21850</v>
      </c>
      <c r="K156" s="230">
        <f t="shared" si="67"/>
        <v>19320</v>
      </c>
      <c r="L156" s="230">
        <f t="shared" si="67"/>
        <v>21783.3</v>
      </c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44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228" t="s">
        <v>269</v>
      </c>
      <c r="B158" s="229">
        <f t="shared" ref="B158:L158" si="68">B62+B92+B137+B156</f>
        <v>160155</v>
      </c>
      <c r="C158" s="230">
        <f t="shared" si="68"/>
        <v>293609.1914</v>
      </c>
      <c r="D158" s="230">
        <f t="shared" si="68"/>
        <v>557217.2372</v>
      </c>
      <c r="E158" s="230">
        <f t="shared" si="68"/>
        <v>693858.5328</v>
      </c>
      <c r="F158" s="230">
        <f t="shared" si="68"/>
        <v>872922.3354</v>
      </c>
      <c r="G158" s="230">
        <f t="shared" si="68"/>
        <v>1054953.055</v>
      </c>
      <c r="H158" s="230">
        <f t="shared" si="68"/>
        <v>1248114.614</v>
      </c>
      <c r="I158" s="230">
        <f t="shared" si="68"/>
        <v>1413292.714</v>
      </c>
      <c r="J158" s="230">
        <f t="shared" si="68"/>
        <v>1457146.929</v>
      </c>
      <c r="K158" s="230">
        <f t="shared" si="68"/>
        <v>1486949.976</v>
      </c>
      <c r="L158" s="230">
        <f t="shared" si="68"/>
        <v>1371283.359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44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31" t="s">
        <v>270</v>
      </c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44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48" t="s">
        <v>271</v>
      </c>
      <c r="B162" s="44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79" t="s">
        <v>272</v>
      </c>
      <c r="B163" s="250">
        <v>0.0</v>
      </c>
      <c r="C163" s="200">
        <f>C164*C165</f>
        <v>9510</v>
      </c>
      <c r="D163" s="200">
        <v>0.0</v>
      </c>
      <c r="E163" s="200">
        <v>0.0</v>
      </c>
      <c r="F163" s="200">
        <v>18900.0</v>
      </c>
      <c r="G163" s="200">
        <v>0.0</v>
      </c>
      <c r="H163" s="200">
        <v>0.0</v>
      </c>
      <c r="I163" s="200">
        <f>('Operations Expenses'!J29-'Operations Expenses'!I29)*I164*I165</f>
        <v>0</v>
      </c>
      <c r="J163" s="200">
        <f>('Operations Expenses'!K29-'Operations Expenses'!J29)*J164*J165</f>
        <v>0</v>
      </c>
      <c r="K163" s="200">
        <f>('Operations Expenses'!L29-'Operations Expenses'!K29)*K164*K165</f>
        <v>0</v>
      </c>
      <c r="L163" s="200">
        <v>0.0</v>
      </c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ht="15.75" customHeight="1">
      <c r="A164" s="29" t="s">
        <v>258</v>
      </c>
      <c r="B164" s="185">
        <v>30.0</v>
      </c>
      <c r="C164" s="186">
        <v>30.0</v>
      </c>
      <c r="D164" s="186">
        <v>30.0</v>
      </c>
      <c r="E164" s="186">
        <v>30.0</v>
      </c>
      <c r="F164" s="186">
        <v>30.0</v>
      </c>
      <c r="G164" s="186">
        <v>30.0</v>
      </c>
      <c r="H164" s="186">
        <v>30.0</v>
      </c>
      <c r="I164" s="186">
        <v>30.0</v>
      </c>
      <c r="J164" s="186">
        <v>30.0</v>
      </c>
      <c r="K164" s="186">
        <v>30.0</v>
      </c>
      <c r="L164" s="186">
        <v>30.0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29" t="s">
        <v>273</v>
      </c>
      <c r="B165" s="157">
        <v>350.0</v>
      </c>
      <c r="C165" s="171">
        <v>317.0</v>
      </c>
      <c r="D165" s="158">
        <v>333.0</v>
      </c>
      <c r="E165" s="158">
        <v>333.0</v>
      </c>
      <c r="F165" s="158">
        <v>333.0</v>
      </c>
      <c r="G165" s="158">
        <v>333.0</v>
      </c>
      <c r="H165" s="158">
        <v>333.0</v>
      </c>
      <c r="I165" s="158">
        <v>333.0</v>
      </c>
      <c r="J165" s="158">
        <v>333.0</v>
      </c>
      <c r="K165" s="158">
        <v>333.0</v>
      </c>
      <c r="L165" s="158">
        <v>333.0</v>
      </c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 t="s">
        <v>274</v>
      </c>
      <c r="B166" s="84">
        <v>0.0</v>
      </c>
      <c r="C166" s="91">
        <v>0.0</v>
      </c>
      <c r="D166" s="91">
        <v>0.0</v>
      </c>
      <c r="E166" s="91">
        <v>0.0</v>
      </c>
      <c r="F166" s="170">
        <f t="shared" ref="F166:K166" si="69">C163</f>
        <v>9510</v>
      </c>
      <c r="G166" s="170">
        <f t="shared" si="69"/>
        <v>0</v>
      </c>
      <c r="H166" s="170">
        <f t="shared" si="69"/>
        <v>0</v>
      </c>
      <c r="I166" s="170">
        <f t="shared" si="69"/>
        <v>18900</v>
      </c>
      <c r="J166" s="170">
        <f t="shared" si="69"/>
        <v>0</v>
      </c>
      <c r="K166" s="170">
        <f t="shared" si="69"/>
        <v>0</v>
      </c>
      <c r="L166" s="170">
        <f>K166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36" t="s">
        <v>275</v>
      </c>
      <c r="B167" s="41">
        <f t="shared" ref="B167:L167" si="70">B163+B166</f>
        <v>0</v>
      </c>
      <c r="C167" s="42">
        <f t="shared" si="70"/>
        <v>9510</v>
      </c>
      <c r="D167" s="42">
        <f t="shared" si="70"/>
        <v>0</v>
      </c>
      <c r="E167" s="42">
        <f t="shared" si="70"/>
        <v>0</v>
      </c>
      <c r="F167" s="42">
        <f t="shared" si="70"/>
        <v>28410</v>
      </c>
      <c r="G167" s="42">
        <f t="shared" si="70"/>
        <v>0</v>
      </c>
      <c r="H167" s="42">
        <f t="shared" si="70"/>
        <v>0</v>
      </c>
      <c r="I167" s="42">
        <f t="shared" si="70"/>
        <v>18900</v>
      </c>
      <c r="J167" s="42">
        <f t="shared" si="70"/>
        <v>0</v>
      </c>
      <c r="K167" s="42">
        <f t="shared" si="70"/>
        <v>0</v>
      </c>
      <c r="L167" s="42">
        <f t="shared" si="70"/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44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48" t="s">
        <v>276</v>
      </c>
      <c r="B169" s="44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 t="s">
        <v>277</v>
      </c>
      <c r="B170" s="84">
        <v>0.0</v>
      </c>
      <c r="C170" s="170">
        <f>('Operations Expenses'!C29-'Operations Expenses'!B29)*C171*C172</f>
        <v>0</v>
      </c>
      <c r="D170" s="170">
        <f>('Operations Expenses'!D29-'Operations Expenses'!C29)*D171*D172</f>
        <v>3000</v>
      </c>
      <c r="E170" s="170">
        <f>('Operations Expenses'!E29-'Operations Expenses'!D29)*E171*E172</f>
        <v>2250</v>
      </c>
      <c r="F170" s="170">
        <f>('Operations Expenses'!F29-'Operations Expenses'!E29)*F171*F172</f>
        <v>2250</v>
      </c>
      <c r="G170" s="170">
        <f>('Operations Expenses'!G29-'Operations Expenses'!F29)*G171*G172</f>
        <v>2250</v>
      </c>
      <c r="H170" s="170">
        <f>('Operations Expenses'!H29-'Operations Expenses'!G29)*H171*H172</f>
        <v>2250</v>
      </c>
      <c r="I170" s="170">
        <f>('Operations Expenses'!I29-'Operations Expenses'!H29)*I171*I172</f>
        <v>2250</v>
      </c>
      <c r="J170" s="170">
        <f>('Operations Expenses'!J29-'Operations Expenses'!I29)*J171*J172</f>
        <v>0</v>
      </c>
      <c r="K170" s="170">
        <f>('Operations Expenses'!K29-'Operations Expenses'!J29)*K171*K172</f>
        <v>0</v>
      </c>
      <c r="L170" s="170">
        <f>('Operations Expenses'!L29-'Operations Expenses'!K29)*L171*L172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258" t="s">
        <v>258</v>
      </c>
      <c r="B171" s="259">
        <v>0.0</v>
      </c>
      <c r="C171" s="260">
        <v>0.0</v>
      </c>
      <c r="D171" s="261">
        <v>5.0</v>
      </c>
      <c r="E171" s="261">
        <v>5.0</v>
      </c>
      <c r="F171" s="261">
        <v>5.0</v>
      </c>
      <c r="G171" s="261">
        <v>5.0</v>
      </c>
      <c r="H171" s="261">
        <v>5.0</v>
      </c>
      <c r="I171" s="261">
        <v>5.0</v>
      </c>
      <c r="J171" s="261">
        <v>5.0</v>
      </c>
      <c r="K171" s="261">
        <v>5.0</v>
      </c>
      <c r="L171" s="261">
        <v>5.0</v>
      </c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ht="15.75" customHeight="1">
      <c r="A172" s="193" t="s">
        <v>273</v>
      </c>
      <c r="B172" s="251">
        <v>0.0</v>
      </c>
      <c r="C172" s="225">
        <v>530.0</v>
      </c>
      <c r="D172" s="225">
        <v>150.0</v>
      </c>
      <c r="E172" s="225">
        <v>150.0</v>
      </c>
      <c r="F172" s="225">
        <v>150.0</v>
      </c>
      <c r="G172" s="225">
        <v>150.0</v>
      </c>
      <c r="H172" s="225">
        <v>150.0</v>
      </c>
      <c r="I172" s="225">
        <v>150.0</v>
      </c>
      <c r="J172" s="225">
        <v>150.0</v>
      </c>
      <c r="K172" s="225">
        <v>150.0</v>
      </c>
      <c r="L172" s="225">
        <v>150.0</v>
      </c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ht="15.75" customHeight="1">
      <c r="A173" s="10" t="s">
        <v>278</v>
      </c>
      <c r="B173" s="84">
        <v>0.0</v>
      </c>
      <c r="C173" s="91">
        <v>0.0</v>
      </c>
      <c r="D173" s="91">
        <v>0.0</v>
      </c>
      <c r="E173" s="91">
        <v>0.0</v>
      </c>
      <c r="F173" s="170">
        <f t="shared" ref="F173:L173" si="71">C170</f>
        <v>0</v>
      </c>
      <c r="G173" s="170">
        <f t="shared" si="71"/>
        <v>3000</v>
      </c>
      <c r="H173" s="170">
        <f t="shared" si="71"/>
        <v>2250</v>
      </c>
      <c r="I173" s="170">
        <f t="shared" si="71"/>
        <v>2250</v>
      </c>
      <c r="J173" s="170">
        <f t="shared" si="71"/>
        <v>2250</v>
      </c>
      <c r="K173" s="170">
        <f t="shared" si="71"/>
        <v>2250</v>
      </c>
      <c r="L173" s="170">
        <f t="shared" si="71"/>
        <v>2250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36" t="s">
        <v>279</v>
      </c>
      <c r="B174" s="41">
        <f t="shared" ref="B174:L174" si="72">B170+B173</f>
        <v>0</v>
      </c>
      <c r="C174" s="42">
        <f t="shared" si="72"/>
        <v>0</v>
      </c>
      <c r="D174" s="42">
        <f t="shared" si="72"/>
        <v>3000</v>
      </c>
      <c r="E174" s="42">
        <f t="shared" si="72"/>
        <v>2250</v>
      </c>
      <c r="F174" s="42">
        <f t="shared" si="72"/>
        <v>2250</v>
      </c>
      <c r="G174" s="42">
        <f t="shared" si="72"/>
        <v>5250</v>
      </c>
      <c r="H174" s="42">
        <f t="shared" si="72"/>
        <v>4500</v>
      </c>
      <c r="I174" s="42">
        <f t="shared" si="72"/>
        <v>4500</v>
      </c>
      <c r="J174" s="42">
        <f t="shared" si="72"/>
        <v>2250</v>
      </c>
      <c r="K174" s="42">
        <f t="shared" si="72"/>
        <v>2250</v>
      </c>
      <c r="L174" s="42">
        <f t="shared" si="72"/>
        <v>2250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44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48" t="s">
        <v>280</v>
      </c>
      <c r="B176" s="44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 t="s">
        <v>281</v>
      </c>
      <c r="B177" s="140">
        <v>5650.0</v>
      </c>
      <c r="C177" s="190">
        <v>1500.0</v>
      </c>
      <c r="D177" s="170">
        <f>D178*'Operations Expenses'!C39</f>
        <v>9450</v>
      </c>
      <c r="E177" s="170">
        <f>E178*'Operations Expenses'!D39</f>
        <v>8730</v>
      </c>
      <c r="F177" s="170">
        <f>F178*'Operations Expenses'!E39</f>
        <v>17190</v>
      </c>
      <c r="G177" s="170">
        <f>G178*'Operations Expenses'!F39</f>
        <v>14490</v>
      </c>
      <c r="H177" s="170">
        <f>H178*'Operations Expenses'!G39</f>
        <v>13140</v>
      </c>
      <c r="I177" s="170">
        <f>I178*'Operations Expenses'!H39</f>
        <v>12960</v>
      </c>
      <c r="J177" s="170">
        <f>J178*'Operations Expenses'!I39</f>
        <v>10440</v>
      </c>
      <c r="K177" s="170">
        <f>K178*'Operations Expenses'!J39</f>
        <v>9720</v>
      </c>
      <c r="L177" s="170">
        <f>L178*'Operations Expenses'!K39</f>
        <v>9720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29" t="s">
        <v>273</v>
      </c>
      <c r="B178" s="157">
        <v>900.0</v>
      </c>
      <c r="C178" s="158">
        <v>900.0</v>
      </c>
      <c r="D178" s="158">
        <v>900.0</v>
      </c>
      <c r="E178" s="158">
        <v>900.0</v>
      </c>
      <c r="F178" s="158">
        <v>900.0</v>
      </c>
      <c r="G178" s="158">
        <v>900.0</v>
      </c>
      <c r="H178" s="158">
        <v>900.0</v>
      </c>
      <c r="I178" s="158">
        <v>900.0</v>
      </c>
      <c r="J178" s="158">
        <v>900.0</v>
      </c>
      <c r="K178" s="158">
        <v>900.0</v>
      </c>
      <c r="L178" s="158">
        <v>900.0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 t="s">
        <v>282</v>
      </c>
      <c r="B179" s="84">
        <v>0.0</v>
      </c>
      <c r="C179" s="91">
        <v>0.0</v>
      </c>
      <c r="D179" s="91">
        <v>0.0</v>
      </c>
      <c r="E179" s="91">
        <v>0.0</v>
      </c>
      <c r="F179" s="91">
        <v>0.0</v>
      </c>
      <c r="G179" s="91">
        <v>0.0</v>
      </c>
      <c r="H179" s="91">
        <v>0.0</v>
      </c>
      <c r="I179" s="91">
        <v>0.0</v>
      </c>
      <c r="J179" s="91">
        <v>0.0</v>
      </c>
      <c r="K179" s="91">
        <v>0.0</v>
      </c>
      <c r="L179" s="91">
        <v>0.0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36" t="s">
        <v>283</v>
      </c>
      <c r="B180" s="41">
        <f t="shared" ref="B180:L180" si="73">B177+B179</f>
        <v>5650</v>
      </c>
      <c r="C180" s="42">
        <f t="shared" si="73"/>
        <v>1500</v>
      </c>
      <c r="D180" s="42">
        <f t="shared" si="73"/>
        <v>9450</v>
      </c>
      <c r="E180" s="42">
        <f t="shared" si="73"/>
        <v>8730</v>
      </c>
      <c r="F180" s="42">
        <f t="shared" si="73"/>
        <v>17190</v>
      </c>
      <c r="G180" s="42">
        <f t="shared" si="73"/>
        <v>14490</v>
      </c>
      <c r="H180" s="42">
        <f t="shared" si="73"/>
        <v>13140</v>
      </c>
      <c r="I180" s="42">
        <f t="shared" si="73"/>
        <v>12960</v>
      </c>
      <c r="J180" s="42">
        <f t="shared" si="73"/>
        <v>10440</v>
      </c>
      <c r="K180" s="42">
        <f t="shared" si="73"/>
        <v>9720</v>
      </c>
      <c r="L180" s="42">
        <f t="shared" si="73"/>
        <v>9720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44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48" t="s">
        <v>284</v>
      </c>
      <c r="B182" s="44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20" t="s">
        <v>285</v>
      </c>
      <c r="B183" s="84">
        <v>0.0</v>
      </c>
      <c r="C183" s="170">
        <f>('Operations Expenses'!C29-'Operations Expenses'!B29)*C184*C185</f>
        <v>4000</v>
      </c>
      <c r="D183" s="170">
        <f>('Operations Expenses'!D29-'Operations Expenses'!C29)*D184*D185</f>
        <v>3264</v>
      </c>
      <c r="E183" s="170">
        <f>('Operations Expenses'!E29-'Operations Expenses'!D29)*E184*E185</f>
        <v>2496.96</v>
      </c>
      <c r="F183" s="170">
        <f>('Operations Expenses'!F29-'Operations Expenses'!E29)*F184*F185</f>
        <v>2546.8992</v>
      </c>
      <c r="G183" s="170">
        <f>('Operations Expenses'!G29-'Operations Expenses'!F29)*G184*G185</f>
        <v>2597.837184</v>
      </c>
      <c r="H183" s="170">
        <f>('Operations Expenses'!H29-'Operations Expenses'!G29)*H184*H185</f>
        <v>2649.793928</v>
      </c>
      <c r="I183" s="170">
        <f>('Operations Expenses'!I29-'Operations Expenses'!H29)*I184*I185</f>
        <v>2702.789806</v>
      </c>
      <c r="J183" s="170">
        <f>('Operations Expenses'!J29-'Operations Expenses'!I29)*J184*J185</f>
        <v>0</v>
      </c>
      <c r="K183" s="170">
        <f>('Operations Expenses'!K29-'Operations Expenses'!J29)*K184*K185</f>
        <v>0</v>
      </c>
      <c r="L183" s="170">
        <f>('Operations Expenses'!L29-'Operations Expenses'!K29)*L184*L185</f>
        <v>0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29" t="s">
        <v>258</v>
      </c>
      <c r="B184" s="185">
        <v>0.0</v>
      </c>
      <c r="C184" s="262">
        <v>1.0</v>
      </c>
      <c r="D184" s="263">
        <v>1.0</v>
      </c>
      <c r="E184" s="263">
        <v>1.0</v>
      </c>
      <c r="F184" s="263">
        <v>1.0</v>
      </c>
      <c r="G184" s="263">
        <v>1.0</v>
      </c>
      <c r="H184" s="263">
        <v>1.0</v>
      </c>
      <c r="I184" s="263">
        <v>1.0</v>
      </c>
      <c r="J184" s="263">
        <v>1.0</v>
      </c>
      <c r="K184" s="263">
        <v>1.0</v>
      </c>
      <c r="L184" s="263">
        <v>1.0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29" t="s">
        <v>273</v>
      </c>
      <c r="B185" s="157">
        <v>0.0</v>
      </c>
      <c r="C185" s="237">
        <v>800.0</v>
      </c>
      <c r="D185" s="176">
        <f t="shared" ref="D185:L185" si="74">C185*1.02</f>
        <v>816</v>
      </c>
      <c r="E185" s="176">
        <f t="shared" si="74"/>
        <v>832.32</v>
      </c>
      <c r="F185" s="176">
        <f t="shared" si="74"/>
        <v>848.9664</v>
      </c>
      <c r="G185" s="176">
        <f t="shared" si="74"/>
        <v>865.945728</v>
      </c>
      <c r="H185" s="176">
        <f t="shared" si="74"/>
        <v>883.2646426</v>
      </c>
      <c r="I185" s="176">
        <f t="shared" si="74"/>
        <v>900.9299354</v>
      </c>
      <c r="J185" s="176">
        <f t="shared" si="74"/>
        <v>918.9485341</v>
      </c>
      <c r="K185" s="176">
        <f t="shared" si="74"/>
        <v>937.3275048</v>
      </c>
      <c r="L185" s="176">
        <f t="shared" si="74"/>
        <v>956.0740549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 t="s">
        <v>286</v>
      </c>
      <c r="B186" s="84">
        <v>0.0</v>
      </c>
      <c r="C186" s="91">
        <v>0.0</v>
      </c>
      <c r="D186" s="91">
        <v>0.0</v>
      </c>
      <c r="E186" s="91">
        <v>0.0</v>
      </c>
      <c r="F186" s="91">
        <v>0.0</v>
      </c>
      <c r="G186" s="91">
        <v>0.0</v>
      </c>
      <c r="H186" s="91">
        <v>0.0</v>
      </c>
      <c r="I186" s="91">
        <v>0.0</v>
      </c>
      <c r="J186" s="91">
        <v>0.0</v>
      </c>
      <c r="K186" s="170">
        <f t="shared" ref="K186:L186" si="75">C183</f>
        <v>4000</v>
      </c>
      <c r="L186" s="170">
        <f t="shared" si="75"/>
        <v>3264</v>
      </c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36" t="s">
        <v>287</v>
      </c>
      <c r="B187" s="41">
        <f t="shared" ref="B187:L187" si="76">B183+B186</f>
        <v>0</v>
      </c>
      <c r="C187" s="42">
        <f t="shared" si="76"/>
        <v>4000</v>
      </c>
      <c r="D187" s="42">
        <f t="shared" si="76"/>
        <v>3264</v>
      </c>
      <c r="E187" s="42">
        <f t="shared" si="76"/>
        <v>2496.96</v>
      </c>
      <c r="F187" s="42">
        <f t="shared" si="76"/>
        <v>2546.8992</v>
      </c>
      <c r="G187" s="42">
        <f t="shared" si="76"/>
        <v>2597.837184</v>
      </c>
      <c r="H187" s="42">
        <f t="shared" si="76"/>
        <v>2649.793928</v>
      </c>
      <c r="I187" s="42">
        <f t="shared" si="76"/>
        <v>2702.789806</v>
      </c>
      <c r="J187" s="42">
        <f t="shared" si="76"/>
        <v>0</v>
      </c>
      <c r="K187" s="42">
        <f t="shared" si="76"/>
        <v>4000</v>
      </c>
      <c r="L187" s="42">
        <f t="shared" si="76"/>
        <v>3264</v>
      </c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44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48" t="s">
        <v>288</v>
      </c>
      <c r="B189" s="44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 t="s">
        <v>289</v>
      </c>
      <c r="B190" s="174">
        <v>0.0</v>
      </c>
      <c r="C190" s="234">
        <f>C191*C28</f>
        <v>4400</v>
      </c>
      <c r="D190" s="147">
        <f>D191*'Operations Expenses'!D28</f>
        <v>11400</v>
      </c>
      <c r="E190" s="147">
        <f>E191*'Operations Expenses'!E28</f>
        <v>15759</v>
      </c>
      <c r="F190" s="147">
        <f>F191*'Operations Expenses'!F28</f>
        <v>20755.98</v>
      </c>
      <c r="G190" s="147">
        <f>G191*'Operations Expenses'!G28</f>
        <v>25946.5356</v>
      </c>
      <c r="H190" s="147">
        <f>H191*'Operations Expenses'!H28</f>
        <v>31336.41103</v>
      </c>
      <c r="I190" s="147">
        <f>I191*'Operations Expenses'!I28</f>
        <v>36931.50287</v>
      </c>
      <c r="J190" s="147">
        <f>J191*'Operations Expenses'!J28</f>
        <v>37670.13292</v>
      </c>
      <c r="K190" s="147">
        <f>K191*'Operations Expenses'!K28</f>
        <v>38423.53558</v>
      </c>
      <c r="L190" s="147">
        <f>L191*'Operations Expenses'!L28</f>
        <v>39192.00629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29" t="s">
        <v>215</v>
      </c>
      <c r="B191" s="235">
        <f>B190/C9</f>
        <v>0</v>
      </c>
      <c r="C191" s="171">
        <v>40.0</v>
      </c>
      <c r="D191" s="158">
        <v>50.0</v>
      </c>
      <c r="E191" s="158">
        <f t="shared" ref="E191:L191" si="77">+D191*1.02</f>
        <v>51</v>
      </c>
      <c r="F191" s="158">
        <f t="shared" si="77"/>
        <v>52.02</v>
      </c>
      <c r="G191" s="158">
        <f t="shared" si="77"/>
        <v>53.0604</v>
      </c>
      <c r="H191" s="158">
        <f t="shared" si="77"/>
        <v>54.121608</v>
      </c>
      <c r="I191" s="158">
        <f t="shared" si="77"/>
        <v>55.20404016</v>
      </c>
      <c r="J191" s="158">
        <f t="shared" si="77"/>
        <v>56.30812096</v>
      </c>
      <c r="K191" s="158">
        <f t="shared" si="77"/>
        <v>57.43428338</v>
      </c>
      <c r="L191" s="158">
        <f t="shared" si="77"/>
        <v>58.58296905</v>
      </c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 t="s">
        <v>290</v>
      </c>
      <c r="B192" s="146">
        <f>B193*('Operations Expenses'!B26+'Operations Expenses'!B27)</f>
        <v>0</v>
      </c>
      <c r="C192" s="147">
        <f>C193*('Operations Expenses'!C26+'Operations Expenses'!C27)</f>
        <v>3200</v>
      </c>
      <c r="D192" s="147">
        <f>D193*('Operations Expenses'!D26+'Operations Expenses'!D27)</f>
        <v>5300</v>
      </c>
      <c r="E192" s="147">
        <f>E193*('Operations Expenses'!E26+'Operations Expenses'!E27)</f>
        <v>6800</v>
      </c>
      <c r="F192" s="147">
        <f>F193*('Operations Expenses'!F26+'Operations Expenses'!F27)</f>
        <v>9900</v>
      </c>
      <c r="G192" s="147">
        <f>G193*('Operations Expenses'!G26+'Operations Expenses'!G27)</f>
        <v>12200</v>
      </c>
      <c r="H192" s="147">
        <f>H193*('Operations Expenses'!H26+'Operations Expenses'!H27)</f>
        <v>13800</v>
      </c>
      <c r="I192" s="147">
        <f>I193*('Operations Expenses'!I26+'Operations Expenses'!I27)</f>
        <v>15000</v>
      </c>
      <c r="J192" s="147">
        <f>J193*('Operations Expenses'!J26+'Operations Expenses'!J27)</f>
        <v>15400</v>
      </c>
      <c r="K192" s="147">
        <f>K193*('Operations Expenses'!K26+'Operations Expenses'!K27)</f>
        <v>15400</v>
      </c>
      <c r="L192" s="147">
        <f>L193*('Operations Expenses'!L26+'Operations Expenses'!L27)</f>
        <v>15400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29" t="s">
        <v>130</v>
      </c>
      <c r="B193" s="157">
        <v>0.0</v>
      </c>
      <c r="C193" s="158">
        <v>200.0</v>
      </c>
      <c r="D193" s="158">
        <v>200.0</v>
      </c>
      <c r="E193" s="158">
        <v>200.0</v>
      </c>
      <c r="F193" s="158">
        <v>200.0</v>
      </c>
      <c r="G193" s="158">
        <v>200.0</v>
      </c>
      <c r="H193" s="158">
        <v>200.0</v>
      </c>
      <c r="I193" s="158">
        <v>200.0</v>
      </c>
      <c r="J193" s="158">
        <v>200.0</v>
      </c>
      <c r="K193" s="158">
        <v>200.0</v>
      </c>
      <c r="L193" s="158">
        <v>200.0</v>
      </c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36" t="s">
        <v>291</v>
      </c>
      <c r="B194" s="41">
        <f t="shared" ref="B194:L194" si="78">B190+B192</f>
        <v>0</v>
      </c>
      <c r="C194" s="42">
        <f t="shared" si="78"/>
        <v>7600</v>
      </c>
      <c r="D194" s="42">
        <f t="shared" si="78"/>
        <v>16700</v>
      </c>
      <c r="E194" s="42">
        <f t="shared" si="78"/>
        <v>22559</v>
      </c>
      <c r="F194" s="42">
        <f t="shared" si="78"/>
        <v>30655.98</v>
      </c>
      <c r="G194" s="42">
        <f t="shared" si="78"/>
        <v>38146.5356</v>
      </c>
      <c r="H194" s="42">
        <f t="shared" si="78"/>
        <v>45136.41103</v>
      </c>
      <c r="I194" s="42">
        <f t="shared" si="78"/>
        <v>51931.50287</v>
      </c>
      <c r="J194" s="42">
        <f t="shared" si="78"/>
        <v>53070.13292</v>
      </c>
      <c r="K194" s="42">
        <f t="shared" si="78"/>
        <v>53823.53558</v>
      </c>
      <c r="L194" s="42">
        <f t="shared" si="78"/>
        <v>54592.00629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44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228" t="s">
        <v>292</v>
      </c>
      <c r="B196" s="229">
        <f t="shared" ref="B196:L196" si="79">B167+B174+B180+B187+B194</f>
        <v>5650</v>
      </c>
      <c r="C196" s="230">
        <f t="shared" si="79"/>
        <v>22610</v>
      </c>
      <c r="D196" s="230">
        <f t="shared" si="79"/>
        <v>32414</v>
      </c>
      <c r="E196" s="230">
        <f t="shared" si="79"/>
        <v>36035.96</v>
      </c>
      <c r="F196" s="230">
        <f t="shared" si="79"/>
        <v>81052.8792</v>
      </c>
      <c r="G196" s="230">
        <f t="shared" si="79"/>
        <v>60484.37278</v>
      </c>
      <c r="H196" s="230">
        <f t="shared" si="79"/>
        <v>65426.20496</v>
      </c>
      <c r="I196" s="230">
        <f t="shared" si="79"/>
        <v>90994.29267</v>
      </c>
      <c r="J196" s="230">
        <f t="shared" si="79"/>
        <v>65760.13292</v>
      </c>
      <c r="K196" s="230">
        <f t="shared" si="79"/>
        <v>69793.53558</v>
      </c>
      <c r="L196" s="230">
        <f t="shared" si="79"/>
        <v>69826.00629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44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 t="s">
        <v>293</v>
      </c>
      <c r="B198" s="138">
        <v>0.0</v>
      </c>
      <c r="C198" s="147">
        <f t="shared" ref="C198:L198" si="80">C199*12</f>
        <v>24000</v>
      </c>
      <c r="D198" s="147">
        <f t="shared" si="80"/>
        <v>24480</v>
      </c>
      <c r="E198" s="147">
        <f t="shared" si="80"/>
        <v>24969.6</v>
      </c>
      <c r="F198" s="147">
        <f t="shared" si="80"/>
        <v>25468.992</v>
      </c>
      <c r="G198" s="147">
        <f t="shared" si="80"/>
        <v>25978.37184</v>
      </c>
      <c r="H198" s="147">
        <f t="shared" si="80"/>
        <v>26497.93928</v>
      </c>
      <c r="I198" s="147">
        <f t="shared" si="80"/>
        <v>27027.89806</v>
      </c>
      <c r="J198" s="147">
        <f t="shared" si="80"/>
        <v>27568.45602</v>
      </c>
      <c r="K198" s="147">
        <f t="shared" si="80"/>
        <v>28119.82514</v>
      </c>
      <c r="L198" s="147">
        <f t="shared" si="80"/>
        <v>28682.22165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29" t="s">
        <v>143</v>
      </c>
      <c r="B199" s="157"/>
      <c r="C199" s="171">
        <v>2000.0</v>
      </c>
      <c r="D199" s="158">
        <f t="shared" ref="D199:L199" si="81">+C199*1.02</f>
        <v>2040</v>
      </c>
      <c r="E199" s="158">
        <f t="shared" si="81"/>
        <v>2080.8</v>
      </c>
      <c r="F199" s="158">
        <f t="shared" si="81"/>
        <v>2122.416</v>
      </c>
      <c r="G199" s="158">
        <f t="shared" si="81"/>
        <v>2164.86432</v>
      </c>
      <c r="H199" s="158">
        <f t="shared" si="81"/>
        <v>2208.161606</v>
      </c>
      <c r="I199" s="158">
        <f t="shared" si="81"/>
        <v>2252.324839</v>
      </c>
      <c r="J199" s="158">
        <f t="shared" si="81"/>
        <v>2297.371335</v>
      </c>
      <c r="K199" s="158">
        <f t="shared" si="81"/>
        <v>2343.318762</v>
      </c>
      <c r="L199" s="158">
        <f t="shared" si="81"/>
        <v>2390.185137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44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228" t="s">
        <v>294</v>
      </c>
      <c r="B201" s="229">
        <f t="shared" ref="B201:L201" si="82">+B196+B198</f>
        <v>5650</v>
      </c>
      <c r="C201" s="230">
        <f t="shared" si="82"/>
        <v>46610</v>
      </c>
      <c r="D201" s="230">
        <f t="shared" si="82"/>
        <v>56894</v>
      </c>
      <c r="E201" s="230">
        <f t="shared" si="82"/>
        <v>61005.56</v>
      </c>
      <c r="F201" s="230">
        <f t="shared" si="82"/>
        <v>106521.8712</v>
      </c>
      <c r="G201" s="230">
        <f t="shared" si="82"/>
        <v>86462.74462</v>
      </c>
      <c r="H201" s="230">
        <f t="shared" si="82"/>
        <v>91924.14424</v>
      </c>
      <c r="I201" s="230">
        <f t="shared" si="82"/>
        <v>118022.1907</v>
      </c>
      <c r="J201" s="230">
        <f t="shared" si="82"/>
        <v>93328.58895</v>
      </c>
      <c r="K201" s="230">
        <f t="shared" si="82"/>
        <v>97913.36073</v>
      </c>
      <c r="L201" s="230">
        <f t="shared" si="82"/>
        <v>98508.22794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44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31" t="s">
        <v>295</v>
      </c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44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 t="s">
        <v>296</v>
      </c>
      <c r="B205" s="61">
        <f>B206*'Operations Expenses'!B28</f>
        <v>0</v>
      </c>
      <c r="C205" s="62">
        <f>C206*'Operations Expenses'!C28</f>
        <v>55</v>
      </c>
      <c r="D205" s="62">
        <f>D206*'Operations Expenses'!D28</f>
        <v>114</v>
      </c>
      <c r="E205" s="62">
        <f>E206*'Operations Expenses'!E28</f>
        <v>154.5</v>
      </c>
      <c r="F205" s="62">
        <f>F206*'Operations Expenses'!F28</f>
        <v>199.5</v>
      </c>
      <c r="G205" s="62">
        <f>G206*'Operations Expenses'!G28</f>
        <v>244.5</v>
      </c>
      <c r="H205" s="62">
        <f>H206*'Operations Expenses'!H28</f>
        <v>289.5</v>
      </c>
      <c r="I205" s="62">
        <f>I206*'Operations Expenses'!I28</f>
        <v>334.5</v>
      </c>
      <c r="J205" s="62">
        <f>J206*'Operations Expenses'!J28</f>
        <v>334.5</v>
      </c>
      <c r="K205" s="62">
        <f>K206*'Operations Expenses'!K28</f>
        <v>334.5</v>
      </c>
      <c r="L205" s="62">
        <f>L206*'Operations Expenses'!L28</f>
        <v>334.5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29" t="s">
        <v>297</v>
      </c>
      <c r="B206" s="70">
        <v>0.0</v>
      </c>
      <c r="C206" s="71">
        <v>0.5</v>
      </c>
      <c r="D206" s="71">
        <v>0.5</v>
      </c>
      <c r="E206" s="71">
        <v>0.5</v>
      </c>
      <c r="F206" s="71">
        <v>0.5</v>
      </c>
      <c r="G206" s="71">
        <v>0.5</v>
      </c>
      <c r="H206" s="71">
        <v>0.5</v>
      </c>
      <c r="I206" s="71">
        <v>0.5</v>
      </c>
      <c r="J206" s="71">
        <v>0.5</v>
      </c>
      <c r="K206" s="71">
        <v>0.5</v>
      </c>
      <c r="L206" s="71">
        <v>0.5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29" t="s">
        <v>298</v>
      </c>
      <c r="B207" s="185">
        <v>50.0</v>
      </c>
      <c r="C207" s="186">
        <v>50.0</v>
      </c>
      <c r="D207" s="186">
        <v>50.0</v>
      </c>
      <c r="E207" s="186">
        <v>50.0</v>
      </c>
      <c r="F207" s="186">
        <v>50.0</v>
      </c>
      <c r="G207" s="186">
        <v>50.0</v>
      </c>
      <c r="H207" s="186">
        <v>50.0</v>
      </c>
      <c r="I207" s="186">
        <v>50.0</v>
      </c>
      <c r="J207" s="186">
        <v>50.0</v>
      </c>
      <c r="K207" s="186">
        <v>50.0</v>
      </c>
      <c r="L207" s="186">
        <v>50.0</v>
      </c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29" t="s">
        <v>299</v>
      </c>
      <c r="B208" s="264">
        <f>ROUNDUP(B205/B207,0)</f>
        <v>0</v>
      </c>
      <c r="C208" s="265">
        <v>3.0</v>
      </c>
      <c r="D208" s="265">
        <f t="shared" ref="D208:L208" si="83">ROUNDUP(D205/D207,0)</f>
        <v>3</v>
      </c>
      <c r="E208" s="265">
        <f t="shared" si="83"/>
        <v>4</v>
      </c>
      <c r="F208" s="265">
        <f t="shared" si="83"/>
        <v>4</v>
      </c>
      <c r="G208" s="265">
        <f t="shared" si="83"/>
        <v>5</v>
      </c>
      <c r="H208" s="265">
        <f t="shared" si="83"/>
        <v>6</v>
      </c>
      <c r="I208" s="265">
        <f t="shared" si="83"/>
        <v>7</v>
      </c>
      <c r="J208" s="265">
        <f t="shared" si="83"/>
        <v>7</v>
      </c>
      <c r="K208" s="265">
        <f t="shared" si="83"/>
        <v>7</v>
      </c>
      <c r="L208" s="265">
        <f t="shared" si="83"/>
        <v>7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29" t="s">
        <v>300</v>
      </c>
      <c r="B209" s="157">
        <v>0.0</v>
      </c>
      <c r="C209" s="176">
        <v>8730.0</v>
      </c>
      <c r="D209" s="176">
        <v>8730.0</v>
      </c>
      <c r="E209" s="176">
        <v>8730.0</v>
      </c>
      <c r="F209" s="176">
        <v>8730.0</v>
      </c>
      <c r="G209" s="176">
        <v>8730.0</v>
      </c>
      <c r="H209" s="176">
        <v>8730.0</v>
      </c>
      <c r="I209" s="176">
        <v>8730.0</v>
      </c>
      <c r="J209" s="176">
        <v>8730.0</v>
      </c>
      <c r="K209" s="176">
        <v>8730.0</v>
      </c>
      <c r="L209" s="176">
        <v>8730.0</v>
      </c>
      <c r="M209" s="10"/>
      <c r="N209" s="23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266" t="s">
        <v>301</v>
      </c>
      <c r="B210" s="41">
        <f>B208*B209*12</f>
        <v>0</v>
      </c>
      <c r="C210" s="267">
        <f t="shared" ref="C210:L210" si="84">C208*C209*10</f>
        <v>261900</v>
      </c>
      <c r="D210" s="267">
        <f t="shared" si="84"/>
        <v>261900</v>
      </c>
      <c r="E210" s="267">
        <f t="shared" si="84"/>
        <v>349200</v>
      </c>
      <c r="F210" s="267">
        <f t="shared" si="84"/>
        <v>349200</v>
      </c>
      <c r="G210" s="267">
        <f t="shared" si="84"/>
        <v>436500</v>
      </c>
      <c r="H210" s="267">
        <f t="shared" si="84"/>
        <v>523800</v>
      </c>
      <c r="I210" s="267">
        <f t="shared" si="84"/>
        <v>611100</v>
      </c>
      <c r="J210" s="267">
        <f t="shared" si="84"/>
        <v>611100</v>
      </c>
      <c r="K210" s="267">
        <f t="shared" si="84"/>
        <v>611100</v>
      </c>
      <c r="L210" s="267">
        <f t="shared" si="84"/>
        <v>611100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268" t="s">
        <v>239</v>
      </c>
      <c r="B211" s="269"/>
      <c r="C211" s="270">
        <f t="shared" ref="C211:L211" si="85">C210/C205</f>
        <v>4761.818182</v>
      </c>
      <c r="D211" s="270">
        <f t="shared" si="85"/>
        <v>2297.368421</v>
      </c>
      <c r="E211" s="270">
        <f t="shared" si="85"/>
        <v>2260.194175</v>
      </c>
      <c r="F211" s="270">
        <f t="shared" si="85"/>
        <v>1750.37594</v>
      </c>
      <c r="G211" s="270">
        <f t="shared" si="85"/>
        <v>1785.276074</v>
      </c>
      <c r="H211" s="270">
        <f t="shared" si="85"/>
        <v>1809.326425</v>
      </c>
      <c r="I211" s="270">
        <f t="shared" si="85"/>
        <v>1826.90583</v>
      </c>
      <c r="J211" s="270">
        <f t="shared" si="85"/>
        <v>1826.90583</v>
      </c>
      <c r="K211" s="270">
        <f t="shared" si="85"/>
        <v>1826.90583</v>
      </c>
      <c r="L211" s="270">
        <f t="shared" si="85"/>
        <v>1826.90583</v>
      </c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1">
    <mergeCell ref="C5:L5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0.88"/>
    <col customWidth="1" min="2" max="12" width="13.63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5.75" customHeight="1">
      <c r="A2" s="11" t="s">
        <v>302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3"/>
      <c r="B5" s="14" t="s">
        <v>26</v>
      </c>
      <c r="C5" s="15" t="s">
        <v>27</v>
      </c>
      <c r="D5" s="16"/>
      <c r="E5" s="16"/>
      <c r="F5" s="16"/>
      <c r="G5" s="16"/>
      <c r="H5" s="16"/>
      <c r="I5" s="16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7" t="s">
        <v>28</v>
      </c>
      <c r="B6" s="18">
        <v>2023.0</v>
      </c>
      <c r="C6" s="19">
        <f t="shared" ref="C6:L6" si="1">B6+1</f>
        <v>2024</v>
      </c>
      <c r="D6" s="19">
        <f t="shared" si="1"/>
        <v>2025</v>
      </c>
      <c r="E6" s="19">
        <f t="shared" si="1"/>
        <v>2026</v>
      </c>
      <c r="F6" s="19">
        <f t="shared" si="1"/>
        <v>2027</v>
      </c>
      <c r="G6" s="19">
        <f t="shared" si="1"/>
        <v>2028</v>
      </c>
      <c r="H6" s="19">
        <f t="shared" si="1"/>
        <v>2029</v>
      </c>
      <c r="I6" s="19">
        <f t="shared" si="1"/>
        <v>2030</v>
      </c>
      <c r="J6" s="19">
        <f t="shared" si="1"/>
        <v>2031</v>
      </c>
      <c r="K6" s="19">
        <f t="shared" si="1"/>
        <v>2032</v>
      </c>
      <c r="L6" s="19">
        <f t="shared" si="1"/>
        <v>2033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20" t="s">
        <v>29</v>
      </c>
      <c r="B7" s="21">
        <v>0.0</v>
      </c>
      <c r="C7" s="22">
        <v>1.0</v>
      </c>
      <c r="D7" s="22">
        <f t="shared" ref="D7:L7" si="2">C7+1</f>
        <v>2</v>
      </c>
      <c r="E7" s="22">
        <f t="shared" si="2"/>
        <v>3</v>
      </c>
      <c r="F7" s="22">
        <f t="shared" si="2"/>
        <v>4</v>
      </c>
      <c r="G7" s="22">
        <f t="shared" si="2"/>
        <v>5</v>
      </c>
      <c r="H7" s="22">
        <f t="shared" si="2"/>
        <v>6</v>
      </c>
      <c r="I7" s="22">
        <f t="shared" si="2"/>
        <v>7</v>
      </c>
      <c r="J7" s="22">
        <f t="shared" si="2"/>
        <v>8</v>
      </c>
      <c r="K7" s="22">
        <f t="shared" si="2"/>
        <v>9</v>
      </c>
      <c r="L7" s="22">
        <f t="shared" si="2"/>
        <v>10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0"/>
      <c r="B8" s="4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9" t="s">
        <v>30</v>
      </c>
      <c r="B9" s="25">
        <f>'Enrollment &amp; Revenue'!B59</f>
        <v>0</v>
      </c>
      <c r="C9" s="26">
        <f>'Enrollment &amp; Revenue'!C59</f>
        <v>110</v>
      </c>
      <c r="D9" s="26">
        <f>'Enrollment &amp; Revenue'!D59</f>
        <v>228</v>
      </c>
      <c r="E9" s="26">
        <f>'Enrollment &amp; Revenue'!E59</f>
        <v>309</v>
      </c>
      <c r="F9" s="26">
        <f>'Enrollment &amp; Revenue'!F59</f>
        <v>399</v>
      </c>
      <c r="G9" s="26">
        <f>'Enrollment &amp; Revenue'!G59</f>
        <v>489</v>
      </c>
      <c r="H9" s="26">
        <f>'Enrollment &amp; Revenue'!H59</f>
        <v>579</v>
      </c>
      <c r="I9" s="26">
        <f>'Enrollment &amp; Revenue'!I59</f>
        <v>669</v>
      </c>
      <c r="J9" s="26">
        <f>'Enrollment &amp; Revenue'!J59</f>
        <v>669</v>
      </c>
      <c r="K9" s="26">
        <f>'Enrollment &amp; Revenue'!K59</f>
        <v>669</v>
      </c>
      <c r="L9" s="26">
        <f>'Enrollment &amp; Revenue'!L59</f>
        <v>669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9" t="s">
        <v>80</v>
      </c>
      <c r="B10" s="25">
        <f>'Staff &amp; Personnel Expenses'!B60</f>
        <v>3</v>
      </c>
      <c r="C10" s="26">
        <f>'Staff &amp; Personnel Expenses'!C60</f>
        <v>16</v>
      </c>
      <c r="D10" s="26">
        <f>'Staff &amp; Personnel Expenses'!D60</f>
        <v>26.5</v>
      </c>
      <c r="E10" s="26">
        <f>'Staff &amp; Personnel Expenses'!E60</f>
        <v>34</v>
      </c>
      <c r="F10" s="26">
        <f>'Staff &amp; Personnel Expenses'!F60</f>
        <v>49.5</v>
      </c>
      <c r="G10" s="26">
        <f>'Staff &amp; Personnel Expenses'!G60</f>
        <v>61</v>
      </c>
      <c r="H10" s="26">
        <f>'Staff &amp; Personnel Expenses'!H60</f>
        <v>69</v>
      </c>
      <c r="I10" s="26">
        <f>'Staff &amp; Personnel Expenses'!I60</f>
        <v>75</v>
      </c>
      <c r="J10" s="26">
        <f>'Staff &amp; Personnel Expenses'!J60</f>
        <v>77</v>
      </c>
      <c r="K10" s="26">
        <f>'Staff &amp; Personnel Expenses'!K60</f>
        <v>77</v>
      </c>
      <c r="L10" s="26">
        <f>'Staff &amp; Personnel Expenses'!L60</f>
        <v>77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10"/>
      <c r="B11" s="4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48" t="s">
        <v>303</v>
      </c>
      <c r="B12" s="4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10" t="s">
        <v>7</v>
      </c>
      <c r="B13" s="169">
        <f>'Enrollment &amp; Revenue'!B81</f>
        <v>0</v>
      </c>
      <c r="C13" s="170">
        <f>'Enrollment &amp; Revenue'!C81</f>
        <v>1890544.816</v>
      </c>
      <c r="D13" s="170">
        <f>'Enrollment &amp; Revenue'!D81</f>
        <v>3994569.276</v>
      </c>
      <c r="E13" s="170">
        <f>'Enrollment &amp; Revenue'!E81</f>
        <v>5518732.492</v>
      </c>
      <c r="F13" s="170">
        <f>'Enrollment &amp; Revenue'!F81</f>
        <v>7264477.058</v>
      </c>
      <c r="G13" s="170">
        <f>'Enrollment &amp; Revenue'!G81</f>
        <v>9076024.751</v>
      </c>
      <c r="H13" s="170">
        <f>'Enrollment &amp; Revenue'!H81</f>
        <v>10955328.23</v>
      </c>
      <c r="I13" s="170">
        <f>'Enrollment &amp; Revenue'!I81</f>
        <v>12904391.96</v>
      </c>
      <c r="J13" s="170">
        <f>'Enrollment &amp; Revenue'!J81</f>
        <v>13155478.18</v>
      </c>
      <c r="K13" s="170">
        <f>'Enrollment &amp; Revenue'!K81</f>
        <v>13411586.13</v>
      </c>
      <c r="L13" s="170">
        <f>'Enrollment &amp; Revenue'!L81</f>
        <v>13672816.23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10" t="s">
        <v>8</v>
      </c>
      <c r="B14" s="61">
        <f>'Enrollment &amp; Revenue'!B91</f>
        <v>701330.44</v>
      </c>
      <c r="C14" s="62">
        <f>'Enrollment &amp; Revenue'!C91</f>
        <v>765000</v>
      </c>
      <c r="D14" s="62">
        <f>'Enrollment &amp; Revenue'!D91</f>
        <v>580000</v>
      </c>
      <c r="E14" s="62">
        <f>'Enrollment &amp; Revenue'!E91</f>
        <v>130000</v>
      </c>
      <c r="F14" s="62">
        <f>'Enrollment &amp; Revenue'!F91</f>
        <v>30000</v>
      </c>
      <c r="G14" s="62">
        <f>'Enrollment &amp; Revenue'!G91</f>
        <v>30000</v>
      </c>
      <c r="H14" s="62">
        <v>0.0</v>
      </c>
      <c r="I14" s="62">
        <v>0.0</v>
      </c>
      <c r="J14" s="62">
        <v>0.0</v>
      </c>
      <c r="K14" s="62">
        <f>'Enrollment &amp; Revenue'!K91</f>
        <v>30000</v>
      </c>
      <c r="L14" s="62">
        <f>'Enrollment &amp; Revenue'!L91</f>
        <v>30000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36" t="s">
        <v>9</v>
      </c>
      <c r="B15" s="41">
        <f t="shared" ref="B15:L15" si="3">B13+B14</f>
        <v>701330.44</v>
      </c>
      <c r="C15" s="42">
        <f t="shared" si="3"/>
        <v>2655544.816</v>
      </c>
      <c r="D15" s="42">
        <f t="shared" si="3"/>
        <v>4574569.276</v>
      </c>
      <c r="E15" s="42">
        <f t="shared" si="3"/>
        <v>5648732.492</v>
      </c>
      <c r="F15" s="42">
        <f t="shared" si="3"/>
        <v>7294477.058</v>
      </c>
      <c r="G15" s="42">
        <f t="shared" si="3"/>
        <v>9106024.751</v>
      </c>
      <c r="H15" s="42">
        <f t="shared" si="3"/>
        <v>10955328.23</v>
      </c>
      <c r="I15" s="42">
        <f t="shared" si="3"/>
        <v>12904391.96</v>
      </c>
      <c r="J15" s="42">
        <f t="shared" si="3"/>
        <v>13155478.18</v>
      </c>
      <c r="K15" s="42">
        <f t="shared" si="3"/>
        <v>13441586.13</v>
      </c>
      <c r="L15" s="42">
        <f t="shared" si="3"/>
        <v>13702816.23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10"/>
      <c r="B16" s="4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48" t="s">
        <v>304</v>
      </c>
      <c r="B17" s="4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10" t="s">
        <v>305</v>
      </c>
      <c r="B18" s="169">
        <f>'Staff &amp; Personnel Expenses'!B124</f>
        <v>292963.76</v>
      </c>
      <c r="C18" s="170">
        <f>'Staff &amp; Personnel Expenses'!C124</f>
        <v>1390724.702</v>
      </c>
      <c r="D18" s="170">
        <f>'Staff &amp; Personnel Expenses'!D124</f>
        <v>2404218.184</v>
      </c>
      <c r="E18" s="170">
        <f>'Staff &amp; Personnel Expenses'!E124</f>
        <v>3176178.938</v>
      </c>
      <c r="F18" s="170">
        <f>'Staff &amp; Personnel Expenses'!F124</f>
        <v>4670280.611</v>
      </c>
      <c r="G18" s="170">
        <f>'Staff &amp; Personnel Expenses'!G124</f>
        <v>5895881.447</v>
      </c>
      <c r="H18" s="170">
        <f>'Staff &amp; Personnel Expenses'!H124</f>
        <v>6722448.264</v>
      </c>
      <c r="I18" s="170">
        <f>'Staff &amp; Personnel Expenses'!I124</f>
        <v>7460173.05</v>
      </c>
      <c r="J18" s="170">
        <f>'Staff &amp; Personnel Expenses'!J124</f>
        <v>7730006.125</v>
      </c>
      <c r="K18" s="170">
        <f>'Staff &amp; Personnel Expenses'!K124</f>
        <v>7883526.247</v>
      </c>
      <c r="L18" s="170">
        <f>'Staff &amp; Personnel Expenses'!L124</f>
        <v>8040116.772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0" t="s">
        <v>306</v>
      </c>
      <c r="B19" s="61">
        <f>'Facilities Expenses'!B41</f>
        <v>600</v>
      </c>
      <c r="C19" s="62">
        <f>'Facilities Expenses'!C41</f>
        <v>262462.5926</v>
      </c>
      <c r="D19" s="62">
        <f>'Facilities Expenses'!D41</f>
        <v>405093.837</v>
      </c>
      <c r="E19" s="62">
        <f>'Facilities Expenses'!E41</f>
        <v>507835.053</v>
      </c>
      <c r="F19" s="62">
        <f>'Facilities Expenses'!F41</f>
        <v>631413.4156</v>
      </c>
      <c r="G19" s="62">
        <f>'Facilities Expenses'!G41</f>
        <v>735787.3821</v>
      </c>
      <c r="H19" s="62">
        <f>'Facilities Expenses'!H41</f>
        <v>848685.7725</v>
      </c>
      <c r="I19" s="62">
        <f>'Facilities Expenses'!I41</f>
        <v>955973.133</v>
      </c>
      <c r="J19" s="62">
        <f>'Facilities Expenses'!J41</f>
        <v>974960.5956</v>
      </c>
      <c r="K19" s="62">
        <f>'Facilities Expenses'!K41</f>
        <v>994327.8075</v>
      </c>
      <c r="L19" s="62">
        <f>'Facilities Expenses'!L41</f>
        <v>1014082.364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0" t="s">
        <v>27</v>
      </c>
      <c r="B20" s="61">
        <f>'Operations Expenses'!B158</f>
        <v>160155</v>
      </c>
      <c r="C20" s="62">
        <f>'Operations Expenses'!C158</f>
        <v>293609.1914</v>
      </c>
      <c r="D20" s="62">
        <f>'Operations Expenses'!D158</f>
        <v>557217.2372</v>
      </c>
      <c r="E20" s="62">
        <f>'Operations Expenses'!E158</f>
        <v>693858.5328</v>
      </c>
      <c r="F20" s="62">
        <f>'Operations Expenses'!F158</f>
        <v>872922.3354</v>
      </c>
      <c r="G20" s="62">
        <f>'Operations Expenses'!G158</f>
        <v>1054953.055</v>
      </c>
      <c r="H20" s="62">
        <f>'Operations Expenses'!H158</f>
        <v>1248114.614</v>
      </c>
      <c r="I20" s="62">
        <f>'Operations Expenses'!I158</f>
        <v>1413292.714</v>
      </c>
      <c r="J20" s="62">
        <f>'Operations Expenses'!J158</f>
        <v>1457146.929</v>
      </c>
      <c r="K20" s="62">
        <f>'Operations Expenses'!K158</f>
        <v>1486949.976</v>
      </c>
      <c r="L20" s="62">
        <f>'Operations Expenses'!L158</f>
        <v>1371283.359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 t="s">
        <v>307</v>
      </c>
      <c r="B21" s="61">
        <f>'Operations Expenses'!B201</f>
        <v>5650</v>
      </c>
      <c r="C21" s="62">
        <f>'Operations Expenses'!C201</f>
        <v>46610</v>
      </c>
      <c r="D21" s="62">
        <f>'Operations Expenses'!D201</f>
        <v>56894</v>
      </c>
      <c r="E21" s="62">
        <f>'Operations Expenses'!E201</f>
        <v>61005.56</v>
      </c>
      <c r="F21" s="62">
        <f>'Operations Expenses'!F201</f>
        <v>106521.8712</v>
      </c>
      <c r="G21" s="62">
        <f>'Operations Expenses'!G201</f>
        <v>86462.74462</v>
      </c>
      <c r="H21" s="62">
        <f>'Operations Expenses'!H201</f>
        <v>91924.14424</v>
      </c>
      <c r="I21" s="62">
        <f>'Operations Expenses'!I201</f>
        <v>118022.1907</v>
      </c>
      <c r="J21" s="62">
        <f>'Operations Expenses'!J201</f>
        <v>93328.58895</v>
      </c>
      <c r="K21" s="62">
        <f>'Operations Expenses'!K201</f>
        <v>97913.36073</v>
      </c>
      <c r="L21" s="62">
        <f>'Operations Expenses'!L201</f>
        <v>98508.22794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10" t="s">
        <v>308</v>
      </c>
      <c r="B22" s="61">
        <f>'Operations Expenses'!B210</f>
        <v>0</v>
      </c>
      <c r="C22" s="62">
        <f>'Operations Expenses'!C210</f>
        <v>261900</v>
      </c>
      <c r="D22" s="62">
        <f>'Operations Expenses'!D210</f>
        <v>261900</v>
      </c>
      <c r="E22" s="62">
        <f>'Operations Expenses'!E210</f>
        <v>349200</v>
      </c>
      <c r="F22" s="62">
        <f>'Operations Expenses'!F210</f>
        <v>349200</v>
      </c>
      <c r="G22" s="62">
        <f>'Operations Expenses'!G210</f>
        <v>436500</v>
      </c>
      <c r="H22" s="62">
        <f>'Operations Expenses'!H210</f>
        <v>523800</v>
      </c>
      <c r="I22" s="62">
        <f>'Operations Expenses'!I210</f>
        <v>611100</v>
      </c>
      <c r="J22" s="62">
        <f>'Operations Expenses'!J210</f>
        <v>611100</v>
      </c>
      <c r="K22" s="62">
        <f>'Operations Expenses'!K210</f>
        <v>611100</v>
      </c>
      <c r="L22" s="62">
        <f>'Operations Expenses'!L210</f>
        <v>611100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0" t="s">
        <v>309</v>
      </c>
      <c r="B23" s="61">
        <v>0.0</v>
      </c>
      <c r="C23" s="62">
        <v>0.0</v>
      </c>
      <c r="D23" s="217">
        <v>0.0</v>
      </c>
      <c r="E23" s="217">
        <v>0.0</v>
      </c>
      <c r="F23" s="217">
        <v>0.0</v>
      </c>
      <c r="G23" s="217">
        <v>0.0</v>
      </c>
      <c r="H23" s="217">
        <v>0.0</v>
      </c>
      <c r="I23" s="217">
        <v>0.0</v>
      </c>
      <c r="J23" s="217">
        <v>0.0</v>
      </c>
      <c r="K23" s="217">
        <v>0.0</v>
      </c>
      <c r="L23" s="217">
        <v>0.0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36" t="s">
        <v>310</v>
      </c>
      <c r="B24" s="41">
        <f t="shared" ref="B24:L24" si="4">SUM(B18:B23)</f>
        <v>459368.76</v>
      </c>
      <c r="C24" s="42">
        <f t="shared" si="4"/>
        <v>2255306.486</v>
      </c>
      <c r="D24" s="42">
        <f t="shared" si="4"/>
        <v>3685323.259</v>
      </c>
      <c r="E24" s="42">
        <f t="shared" si="4"/>
        <v>4788078.084</v>
      </c>
      <c r="F24" s="42">
        <f t="shared" si="4"/>
        <v>6630338.233</v>
      </c>
      <c r="G24" s="42">
        <f t="shared" si="4"/>
        <v>8209584.629</v>
      </c>
      <c r="H24" s="42">
        <f t="shared" si="4"/>
        <v>9434972.794</v>
      </c>
      <c r="I24" s="42">
        <f t="shared" si="4"/>
        <v>10558561.09</v>
      </c>
      <c r="J24" s="42">
        <f t="shared" si="4"/>
        <v>10866542.24</v>
      </c>
      <c r="K24" s="42">
        <f t="shared" si="4"/>
        <v>11073817.39</v>
      </c>
      <c r="L24" s="42">
        <f t="shared" si="4"/>
        <v>11135090.72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0"/>
      <c r="B25" s="4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271" t="s">
        <v>311</v>
      </c>
      <c r="B26" s="272">
        <f t="shared" ref="B26:L26" si="5">B15-B24</f>
        <v>241961.68</v>
      </c>
      <c r="C26" s="273">
        <f t="shared" si="5"/>
        <v>400238.3303</v>
      </c>
      <c r="D26" s="273">
        <f t="shared" si="5"/>
        <v>889246.0169</v>
      </c>
      <c r="E26" s="273">
        <f t="shared" si="5"/>
        <v>860654.4075</v>
      </c>
      <c r="F26" s="273">
        <f t="shared" si="5"/>
        <v>664138.8254</v>
      </c>
      <c r="G26" s="273">
        <f t="shared" si="5"/>
        <v>896440.1213</v>
      </c>
      <c r="H26" s="273">
        <f t="shared" si="5"/>
        <v>1520355.439</v>
      </c>
      <c r="I26" s="273">
        <f t="shared" si="5"/>
        <v>2345830.87</v>
      </c>
      <c r="J26" s="273">
        <f t="shared" si="5"/>
        <v>2288935.942</v>
      </c>
      <c r="K26" s="273">
        <f t="shared" si="5"/>
        <v>2367768.736</v>
      </c>
      <c r="L26" s="273">
        <f t="shared" si="5"/>
        <v>2567725.51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29" t="s">
        <v>312</v>
      </c>
      <c r="B27" s="44"/>
      <c r="C27" s="182">
        <f t="shared" ref="C27:L27" si="6">C26/C9</f>
        <v>3638.530276</v>
      </c>
      <c r="D27" s="182">
        <f t="shared" si="6"/>
        <v>3900.201829</v>
      </c>
      <c r="E27" s="182">
        <f t="shared" si="6"/>
        <v>2785.289345</v>
      </c>
      <c r="F27" s="182">
        <f t="shared" si="6"/>
        <v>1664.508334</v>
      </c>
      <c r="G27" s="182">
        <f t="shared" si="6"/>
        <v>1833.210882</v>
      </c>
      <c r="H27" s="182">
        <f t="shared" si="6"/>
        <v>2625.829774</v>
      </c>
      <c r="I27" s="182">
        <f t="shared" si="6"/>
        <v>3506.473648</v>
      </c>
      <c r="J27" s="182">
        <f t="shared" si="6"/>
        <v>3421.428912</v>
      </c>
      <c r="K27" s="182">
        <f t="shared" si="6"/>
        <v>3539.265674</v>
      </c>
      <c r="L27" s="182">
        <f t="shared" si="6"/>
        <v>3838.154723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29" t="s">
        <v>83</v>
      </c>
      <c r="B28" s="167">
        <f t="shared" ref="B28:L28" si="7">B26/B15</f>
        <v>0.3450038187</v>
      </c>
      <c r="C28" s="168">
        <f t="shared" si="7"/>
        <v>0.1507179724</v>
      </c>
      <c r="D28" s="168">
        <f t="shared" si="7"/>
        <v>0.1943890153</v>
      </c>
      <c r="E28" s="168">
        <f t="shared" si="7"/>
        <v>0.1523623944</v>
      </c>
      <c r="F28" s="168">
        <f t="shared" si="7"/>
        <v>0.09104680433</v>
      </c>
      <c r="G28" s="168">
        <f t="shared" si="7"/>
        <v>0.09844472708</v>
      </c>
      <c r="H28" s="168">
        <f t="shared" si="7"/>
        <v>0.1387777168</v>
      </c>
      <c r="I28" s="168">
        <f t="shared" si="7"/>
        <v>0.1817854633</v>
      </c>
      <c r="J28" s="168">
        <f t="shared" si="7"/>
        <v>0.1739910865</v>
      </c>
      <c r="K28" s="168">
        <f t="shared" si="7"/>
        <v>0.1761524803</v>
      </c>
      <c r="L28" s="168">
        <f t="shared" si="7"/>
        <v>0.1873866996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0"/>
      <c r="B29" s="4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9" t="s">
        <v>313</v>
      </c>
      <c r="B30" s="95">
        <v>100.0</v>
      </c>
      <c r="C30" s="28">
        <f t="shared" ref="C30:L30" si="8">B38</f>
        <v>32061.68</v>
      </c>
      <c r="D30" s="28">
        <f t="shared" si="8"/>
        <v>107300.0103</v>
      </c>
      <c r="E30" s="28">
        <f t="shared" si="8"/>
        <v>956179.3606</v>
      </c>
      <c r="F30" s="28">
        <f t="shared" si="8"/>
        <v>1789722.657</v>
      </c>
      <c r="G30" s="28">
        <f t="shared" si="8"/>
        <v>2445315.186</v>
      </c>
      <c r="H30" s="28">
        <f t="shared" si="8"/>
        <v>3314680.903</v>
      </c>
      <c r="I30" s="28">
        <f t="shared" si="8"/>
        <v>4828154.02</v>
      </c>
      <c r="J30" s="28">
        <f t="shared" si="8"/>
        <v>7147777.569</v>
      </c>
      <c r="K30" s="28">
        <f t="shared" si="8"/>
        <v>9436713.511</v>
      </c>
      <c r="L30" s="28">
        <f t="shared" si="8"/>
        <v>11784482.25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0"/>
      <c r="B31" s="254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45" t="s">
        <v>314</v>
      </c>
      <c r="B32" s="61">
        <f t="shared" ref="B32:L32" si="9">+B26</f>
        <v>241961.68</v>
      </c>
      <c r="C32" s="62">
        <f t="shared" si="9"/>
        <v>400238.3303</v>
      </c>
      <c r="D32" s="62">
        <f t="shared" si="9"/>
        <v>889246.0169</v>
      </c>
      <c r="E32" s="62">
        <f t="shared" si="9"/>
        <v>860654.4075</v>
      </c>
      <c r="F32" s="62">
        <f t="shared" si="9"/>
        <v>664138.8254</v>
      </c>
      <c r="G32" s="62">
        <f t="shared" si="9"/>
        <v>896440.1213</v>
      </c>
      <c r="H32" s="62">
        <f t="shared" si="9"/>
        <v>1520355.439</v>
      </c>
      <c r="I32" s="62">
        <f t="shared" si="9"/>
        <v>2345830.87</v>
      </c>
      <c r="J32" s="62">
        <f t="shared" si="9"/>
        <v>2288935.942</v>
      </c>
      <c r="K32" s="62">
        <f t="shared" si="9"/>
        <v>2367768.736</v>
      </c>
      <c r="L32" s="62">
        <f t="shared" si="9"/>
        <v>2567725.51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45" t="s">
        <v>315</v>
      </c>
      <c r="B33" s="61">
        <f>'Facilities Expenses'!B19</f>
        <v>-210000</v>
      </c>
      <c r="C33" s="62">
        <f>'Facilities Expenses'!C19</f>
        <v>-325000</v>
      </c>
      <c r="D33" s="62">
        <f>'Facilities Expenses'!D19</f>
        <v>-40366.66667</v>
      </c>
      <c r="E33" s="62">
        <f>'Facilities Expenses'!E19</f>
        <v>-27111.11111</v>
      </c>
      <c r="F33" s="62">
        <f>'Facilities Expenses'!F19</f>
        <v>-8546.296296</v>
      </c>
      <c r="G33" s="62">
        <f>'Facilities Expenses'!G19</f>
        <v>-27074.40476</v>
      </c>
      <c r="H33" s="62">
        <f>'Facilities Expenses'!H19</f>
        <v>-6882.321429</v>
      </c>
      <c r="I33" s="62">
        <f>'Facilities Expenses'!I19</f>
        <v>-26207.32143</v>
      </c>
      <c r="J33" s="62">
        <f>'Facilities Expenses'!J19</f>
        <v>0</v>
      </c>
      <c r="K33" s="62">
        <f>'Facilities Expenses'!K19</f>
        <v>-20000</v>
      </c>
      <c r="L33" s="62">
        <f>'Facilities Expenses'!L19</f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145" t="s">
        <v>316</v>
      </c>
      <c r="B34" s="61">
        <f>'Monthly Cash Flow'!N41</f>
        <v>0</v>
      </c>
      <c r="C34" s="62">
        <f>'Monthly Cash Flow'!AB41</f>
        <v>0</v>
      </c>
      <c r="D34" s="217">
        <v>0.0</v>
      </c>
      <c r="E34" s="217">
        <v>0.0</v>
      </c>
      <c r="F34" s="217">
        <v>0.0</v>
      </c>
      <c r="G34" s="217">
        <v>0.0</v>
      </c>
      <c r="H34" s="217">
        <v>0.0</v>
      </c>
      <c r="I34" s="217">
        <v>0.0</v>
      </c>
      <c r="J34" s="217">
        <v>0.0</v>
      </c>
      <c r="K34" s="217">
        <v>0.0</v>
      </c>
      <c r="L34" s="217">
        <v>0.0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45" t="s">
        <v>317</v>
      </c>
      <c r="B35" s="61">
        <f>'Monthly Cash Flow'!N42</f>
        <v>0</v>
      </c>
      <c r="C35" s="62">
        <f>'Monthly Cash Flow'!AB42</f>
        <v>0</v>
      </c>
      <c r="D35" s="217">
        <v>0.0</v>
      </c>
      <c r="E35" s="217">
        <v>0.0</v>
      </c>
      <c r="F35" s="217">
        <v>0.0</v>
      </c>
      <c r="G35" s="217">
        <v>0.0</v>
      </c>
      <c r="H35" s="217">
        <v>0.0</v>
      </c>
      <c r="I35" s="217">
        <v>0.0</v>
      </c>
      <c r="J35" s="217">
        <v>0.0</v>
      </c>
      <c r="K35" s="217">
        <v>0.0</v>
      </c>
      <c r="L35" s="217">
        <v>0.0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274" t="s">
        <v>318</v>
      </c>
      <c r="B36" s="275">
        <f t="shared" ref="B36:L36" si="10">SUM(B32:B35)</f>
        <v>31961.68</v>
      </c>
      <c r="C36" s="276">
        <f t="shared" si="10"/>
        <v>75238.33032</v>
      </c>
      <c r="D36" s="276">
        <f t="shared" si="10"/>
        <v>848879.3503</v>
      </c>
      <c r="E36" s="276">
        <f t="shared" si="10"/>
        <v>833543.2963</v>
      </c>
      <c r="F36" s="276">
        <f t="shared" si="10"/>
        <v>655592.5292</v>
      </c>
      <c r="G36" s="276">
        <f t="shared" si="10"/>
        <v>869365.7166</v>
      </c>
      <c r="H36" s="276">
        <f t="shared" si="10"/>
        <v>1513473.118</v>
      </c>
      <c r="I36" s="276">
        <f t="shared" si="10"/>
        <v>2319623.549</v>
      </c>
      <c r="J36" s="276">
        <f t="shared" si="10"/>
        <v>2288935.942</v>
      </c>
      <c r="K36" s="276">
        <f t="shared" si="10"/>
        <v>2347768.736</v>
      </c>
      <c r="L36" s="276">
        <f t="shared" si="10"/>
        <v>2567725.51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36" t="s">
        <v>319</v>
      </c>
      <c r="B38" s="41">
        <f t="shared" ref="B38:L38" si="11">B30+B36</f>
        <v>32061.68</v>
      </c>
      <c r="C38" s="42">
        <f t="shared" si="11"/>
        <v>107300.0103</v>
      </c>
      <c r="D38" s="42">
        <f t="shared" si="11"/>
        <v>956179.3606</v>
      </c>
      <c r="E38" s="42">
        <f t="shared" si="11"/>
        <v>1789722.657</v>
      </c>
      <c r="F38" s="42">
        <f t="shared" si="11"/>
        <v>2445315.186</v>
      </c>
      <c r="G38" s="42">
        <f t="shared" si="11"/>
        <v>3314680.903</v>
      </c>
      <c r="H38" s="42">
        <f t="shared" si="11"/>
        <v>4828154.02</v>
      </c>
      <c r="I38" s="42">
        <f t="shared" si="11"/>
        <v>7147777.569</v>
      </c>
      <c r="J38" s="42">
        <f t="shared" si="11"/>
        <v>9436713.511</v>
      </c>
      <c r="K38" s="42">
        <f t="shared" si="11"/>
        <v>11784482.25</v>
      </c>
      <c r="L38" s="42">
        <f t="shared" si="11"/>
        <v>14352207.76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0"/>
      <c r="B39" s="4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20" t="s">
        <v>320</v>
      </c>
      <c r="B40" s="277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279" t="s">
        <v>303</v>
      </c>
      <c r="B41" s="280"/>
      <c r="C41" s="281"/>
      <c r="D41" s="281"/>
      <c r="E41" s="281"/>
      <c r="F41" s="281"/>
      <c r="G41" s="281"/>
      <c r="H41" s="281"/>
      <c r="I41" s="281"/>
      <c r="J41" s="281"/>
      <c r="K41" s="281"/>
      <c r="L41" s="28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283" t="s">
        <v>7</v>
      </c>
      <c r="B42" s="167">
        <f t="shared" ref="B42:L42" si="12">B13/B$15</f>
        <v>0</v>
      </c>
      <c r="C42" s="284">
        <f t="shared" si="12"/>
        <v>0.7119235212</v>
      </c>
      <c r="D42" s="284">
        <f t="shared" si="12"/>
        <v>0.873212107</v>
      </c>
      <c r="E42" s="284">
        <f t="shared" si="12"/>
        <v>0.9769859875</v>
      </c>
      <c r="F42" s="284">
        <f t="shared" si="12"/>
        <v>0.9958872994</v>
      </c>
      <c r="G42" s="284">
        <f t="shared" si="12"/>
        <v>0.9967054779</v>
      </c>
      <c r="H42" s="284">
        <f t="shared" si="12"/>
        <v>1</v>
      </c>
      <c r="I42" s="284">
        <f t="shared" si="12"/>
        <v>1</v>
      </c>
      <c r="J42" s="284">
        <f t="shared" si="12"/>
        <v>1</v>
      </c>
      <c r="K42" s="284">
        <f t="shared" si="12"/>
        <v>0.9977681205</v>
      </c>
      <c r="L42" s="285">
        <f t="shared" si="12"/>
        <v>0.997810669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283" t="s">
        <v>8</v>
      </c>
      <c r="B43" s="167">
        <f t="shared" ref="B43:L43" si="13">B14/B$15</f>
        <v>1</v>
      </c>
      <c r="C43" s="284">
        <f t="shared" si="13"/>
        <v>0.2880764788</v>
      </c>
      <c r="D43" s="284">
        <f t="shared" si="13"/>
        <v>0.126787893</v>
      </c>
      <c r="E43" s="284">
        <f t="shared" si="13"/>
        <v>0.02301401247</v>
      </c>
      <c r="F43" s="284">
        <f t="shared" si="13"/>
        <v>0.004112700576</v>
      </c>
      <c r="G43" s="284">
        <f t="shared" si="13"/>
        <v>0.003294522124</v>
      </c>
      <c r="H43" s="284">
        <f t="shared" si="13"/>
        <v>0</v>
      </c>
      <c r="I43" s="284">
        <f t="shared" si="13"/>
        <v>0</v>
      </c>
      <c r="J43" s="284">
        <f t="shared" si="13"/>
        <v>0</v>
      </c>
      <c r="K43" s="284">
        <f t="shared" si="13"/>
        <v>0.002231879461</v>
      </c>
      <c r="L43" s="285">
        <f t="shared" si="13"/>
        <v>0.002189330973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286" t="s">
        <v>9</v>
      </c>
      <c r="B44" s="287">
        <f t="shared" ref="B44:L44" si="14">B15/B$15</f>
        <v>1</v>
      </c>
      <c r="C44" s="288">
        <f t="shared" si="14"/>
        <v>1</v>
      </c>
      <c r="D44" s="288">
        <f t="shared" si="14"/>
        <v>1</v>
      </c>
      <c r="E44" s="288">
        <f t="shared" si="14"/>
        <v>1</v>
      </c>
      <c r="F44" s="288">
        <f t="shared" si="14"/>
        <v>1</v>
      </c>
      <c r="G44" s="288">
        <f t="shared" si="14"/>
        <v>1</v>
      </c>
      <c r="H44" s="288">
        <f t="shared" si="14"/>
        <v>1</v>
      </c>
      <c r="I44" s="288">
        <f t="shared" si="14"/>
        <v>1</v>
      </c>
      <c r="J44" s="288">
        <f t="shared" si="14"/>
        <v>1</v>
      </c>
      <c r="K44" s="288">
        <f t="shared" si="14"/>
        <v>1</v>
      </c>
      <c r="L44" s="289">
        <f t="shared" si="14"/>
        <v>1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290"/>
      <c r="B45" s="280"/>
      <c r="C45" s="281"/>
      <c r="D45" s="281"/>
      <c r="E45" s="281"/>
      <c r="F45" s="281"/>
      <c r="G45" s="281"/>
      <c r="H45" s="281"/>
      <c r="I45" s="281"/>
      <c r="J45" s="281"/>
      <c r="K45" s="281"/>
      <c r="L45" s="28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279" t="s">
        <v>304</v>
      </c>
      <c r="B46" s="280"/>
      <c r="C46" s="281"/>
      <c r="D46" s="281"/>
      <c r="E46" s="281"/>
      <c r="F46" s="281"/>
      <c r="G46" s="281"/>
      <c r="H46" s="281"/>
      <c r="I46" s="281"/>
      <c r="J46" s="281"/>
      <c r="K46" s="281"/>
      <c r="L46" s="28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283" t="s">
        <v>305</v>
      </c>
      <c r="B47" s="167">
        <f t="shared" ref="B47:L47" si="15">B18/B$15</f>
        <v>0.4177257157</v>
      </c>
      <c r="C47" s="284">
        <f t="shared" si="15"/>
        <v>0.5237059806</v>
      </c>
      <c r="D47" s="284">
        <f t="shared" si="15"/>
        <v>0.5255616517</v>
      </c>
      <c r="E47" s="284">
        <f t="shared" si="15"/>
        <v>0.5622817053</v>
      </c>
      <c r="F47" s="284">
        <f t="shared" si="15"/>
        <v>0.6402488586</v>
      </c>
      <c r="G47" s="284">
        <f t="shared" si="15"/>
        <v>0.6474703956</v>
      </c>
      <c r="H47" s="284">
        <f t="shared" si="15"/>
        <v>0.6136236287</v>
      </c>
      <c r="I47" s="284">
        <f t="shared" si="15"/>
        <v>0.5781111635</v>
      </c>
      <c r="J47" s="284">
        <f t="shared" si="15"/>
        <v>0.5875883809</v>
      </c>
      <c r="K47" s="284">
        <f t="shared" si="15"/>
        <v>0.586502677</v>
      </c>
      <c r="L47" s="285">
        <f t="shared" si="15"/>
        <v>0.5867492226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283" t="s">
        <v>306</v>
      </c>
      <c r="B48" s="167">
        <f t="shared" ref="B48:L48" si="16">B19/B$15</f>
        <v>0.0008555168374</v>
      </c>
      <c r="C48" s="284">
        <f t="shared" si="16"/>
        <v>0.09883568562</v>
      </c>
      <c r="D48" s="284">
        <f t="shared" si="16"/>
        <v>0.08855343807</v>
      </c>
      <c r="E48" s="284">
        <f t="shared" si="16"/>
        <v>0.08990247879</v>
      </c>
      <c r="F48" s="284">
        <f t="shared" si="16"/>
        <v>0.08656047727</v>
      </c>
      <c r="G48" s="284">
        <f t="shared" si="16"/>
        <v>0.08080226029</v>
      </c>
      <c r="H48" s="284">
        <f t="shared" si="16"/>
        <v>0.0774678544</v>
      </c>
      <c r="I48" s="284">
        <f t="shared" si="16"/>
        <v>0.07408122258</v>
      </c>
      <c r="J48" s="284">
        <f t="shared" si="16"/>
        <v>0.0741106163</v>
      </c>
      <c r="K48" s="284">
        <f t="shared" si="16"/>
        <v>0.0739739937</v>
      </c>
      <c r="L48" s="285">
        <f t="shared" si="16"/>
        <v>0.07400539761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283" t="s">
        <v>27</v>
      </c>
      <c r="B49" s="167">
        <f t="shared" ref="B49:L49" si="17">B20/B$15</f>
        <v>0.2283588318</v>
      </c>
      <c r="C49" s="284">
        <f t="shared" si="17"/>
        <v>0.1105645778</v>
      </c>
      <c r="D49" s="284">
        <f t="shared" si="17"/>
        <v>0.1218075853</v>
      </c>
      <c r="E49" s="284">
        <f t="shared" si="17"/>
        <v>0.1228343763</v>
      </c>
      <c r="F49" s="284">
        <f t="shared" si="17"/>
        <v>0.1196689397</v>
      </c>
      <c r="G49" s="284">
        <f t="shared" si="17"/>
        <v>0.115852206</v>
      </c>
      <c r="H49" s="284">
        <f t="shared" si="17"/>
        <v>0.1139276329</v>
      </c>
      <c r="I49" s="284">
        <f t="shared" si="17"/>
        <v>0.1095202873</v>
      </c>
      <c r="J49" s="284">
        <f t="shared" si="17"/>
        <v>0.1107635093</v>
      </c>
      <c r="K49" s="284">
        <f t="shared" si="17"/>
        <v>0.1106231037</v>
      </c>
      <c r="L49" s="285">
        <f t="shared" si="17"/>
        <v>0.1000731044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283" t="s">
        <v>307</v>
      </c>
      <c r="B50" s="167">
        <f t="shared" ref="B50:L50" si="18">B21/B$15</f>
        <v>0.008056116886</v>
      </c>
      <c r="C50" s="284">
        <f t="shared" si="18"/>
        <v>0.01755195383</v>
      </c>
      <c r="D50" s="284">
        <f t="shared" si="18"/>
        <v>0.01243701791</v>
      </c>
      <c r="E50" s="284">
        <f t="shared" si="18"/>
        <v>0.01079986707</v>
      </c>
      <c r="F50" s="284">
        <f t="shared" si="18"/>
        <v>0.01460308537</v>
      </c>
      <c r="G50" s="284">
        <f t="shared" si="18"/>
        <v>0.009495114168</v>
      </c>
      <c r="H50" s="284">
        <f t="shared" si="18"/>
        <v>0.008390816074</v>
      </c>
      <c r="I50" s="284">
        <f t="shared" si="18"/>
        <v>0.009145893206</v>
      </c>
      <c r="J50" s="284">
        <f t="shared" si="18"/>
        <v>0.007094275683</v>
      </c>
      <c r="K50" s="284">
        <f t="shared" si="18"/>
        <v>0.007284360625</v>
      </c>
      <c r="L50" s="285">
        <f t="shared" si="18"/>
        <v>0.007188903819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283" t="s">
        <v>308</v>
      </c>
      <c r="B51" s="167">
        <f t="shared" ref="B51:L51" si="19">B22/B$15</f>
        <v>0</v>
      </c>
      <c r="C51" s="284">
        <f t="shared" si="19"/>
        <v>0.09862382981</v>
      </c>
      <c r="D51" s="284">
        <f t="shared" si="19"/>
        <v>0.0572512917</v>
      </c>
      <c r="E51" s="284">
        <f t="shared" si="19"/>
        <v>0.06181917811</v>
      </c>
      <c r="F51" s="284">
        <f t="shared" si="19"/>
        <v>0.0478718347</v>
      </c>
      <c r="G51" s="284">
        <f t="shared" si="19"/>
        <v>0.0479352969</v>
      </c>
      <c r="H51" s="284">
        <f t="shared" si="19"/>
        <v>0.04781235111</v>
      </c>
      <c r="I51" s="284">
        <f t="shared" si="19"/>
        <v>0.04735597012</v>
      </c>
      <c r="J51" s="284">
        <f t="shared" si="19"/>
        <v>0.04645213132</v>
      </c>
      <c r="K51" s="284">
        <f t="shared" si="19"/>
        <v>0.04546338462</v>
      </c>
      <c r="L51" s="285">
        <f t="shared" si="19"/>
        <v>0.04459667193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286" t="s">
        <v>310</v>
      </c>
      <c r="B52" s="287">
        <f t="shared" ref="B52:L52" si="20">B24/B$15</f>
        <v>0.6549961813</v>
      </c>
      <c r="C52" s="288">
        <f t="shared" si="20"/>
        <v>0.8492820276</v>
      </c>
      <c r="D52" s="288">
        <f t="shared" si="20"/>
        <v>0.8056109847</v>
      </c>
      <c r="E52" s="288">
        <f t="shared" si="20"/>
        <v>0.8476376056</v>
      </c>
      <c r="F52" s="288">
        <f t="shared" si="20"/>
        <v>0.9089531957</v>
      </c>
      <c r="G52" s="288">
        <f t="shared" si="20"/>
        <v>0.9015552729</v>
      </c>
      <c r="H52" s="288">
        <f t="shared" si="20"/>
        <v>0.8612222832</v>
      </c>
      <c r="I52" s="288">
        <f t="shared" si="20"/>
        <v>0.8182145367</v>
      </c>
      <c r="J52" s="288">
        <f t="shared" si="20"/>
        <v>0.8260089135</v>
      </c>
      <c r="K52" s="288">
        <f t="shared" si="20"/>
        <v>0.8238475197</v>
      </c>
      <c r="L52" s="289">
        <f t="shared" si="20"/>
        <v>0.8126133004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291"/>
      <c r="B53" s="292"/>
      <c r="C53" s="293"/>
      <c r="D53" s="293"/>
      <c r="E53" s="293"/>
      <c r="F53" s="293"/>
      <c r="G53" s="293"/>
      <c r="H53" s="293"/>
      <c r="I53" s="293"/>
      <c r="J53" s="293"/>
      <c r="K53" s="293"/>
      <c r="L53" s="29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295" t="s">
        <v>311</v>
      </c>
      <c r="B54" s="296">
        <f t="shared" ref="B54:L54" si="21">B26/B$15</f>
        <v>0.3450038187</v>
      </c>
      <c r="C54" s="297">
        <f t="shared" si="21"/>
        <v>0.1507179724</v>
      </c>
      <c r="D54" s="297">
        <f t="shared" si="21"/>
        <v>0.1943890153</v>
      </c>
      <c r="E54" s="297">
        <f t="shared" si="21"/>
        <v>0.1523623944</v>
      </c>
      <c r="F54" s="297">
        <f t="shared" si="21"/>
        <v>0.09104680433</v>
      </c>
      <c r="G54" s="297">
        <f t="shared" si="21"/>
        <v>0.09844472708</v>
      </c>
      <c r="H54" s="297">
        <f t="shared" si="21"/>
        <v>0.1387777168</v>
      </c>
      <c r="I54" s="297">
        <f t="shared" si="21"/>
        <v>0.1817854633</v>
      </c>
      <c r="J54" s="297">
        <f t="shared" si="21"/>
        <v>0.1739910865</v>
      </c>
      <c r="K54" s="297">
        <f t="shared" si="21"/>
        <v>0.1761524803</v>
      </c>
      <c r="L54" s="298">
        <f t="shared" si="21"/>
        <v>0.1873866996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/>
      <c r="B55" s="4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20" t="s">
        <v>321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279" t="s">
        <v>303</v>
      </c>
      <c r="B57" s="280"/>
      <c r="C57" s="281"/>
      <c r="D57" s="281"/>
      <c r="E57" s="281"/>
      <c r="F57" s="281"/>
      <c r="G57" s="281"/>
      <c r="H57" s="281"/>
      <c r="I57" s="281"/>
      <c r="J57" s="281"/>
      <c r="K57" s="281"/>
      <c r="L57" s="28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283" t="s">
        <v>7</v>
      </c>
      <c r="B58" s="167"/>
      <c r="C58" s="299">
        <f t="shared" ref="C58:L58" si="22">C13/C$9</f>
        <v>17186.77106</v>
      </c>
      <c r="D58" s="299">
        <f t="shared" si="22"/>
        <v>17520.04068</v>
      </c>
      <c r="E58" s="299">
        <f t="shared" si="22"/>
        <v>17859.9757</v>
      </c>
      <c r="F58" s="299">
        <f t="shared" si="22"/>
        <v>18206.70942</v>
      </c>
      <c r="G58" s="299">
        <f t="shared" si="22"/>
        <v>18560.37781</v>
      </c>
      <c r="H58" s="299">
        <f t="shared" si="22"/>
        <v>18921.11957</v>
      </c>
      <c r="I58" s="299">
        <f t="shared" si="22"/>
        <v>19289.07617</v>
      </c>
      <c r="J58" s="299">
        <f t="shared" si="22"/>
        <v>19664.3919</v>
      </c>
      <c r="K58" s="299">
        <f t="shared" si="22"/>
        <v>20047.21394</v>
      </c>
      <c r="L58" s="300">
        <f t="shared" si="22"/>
        <v>20437.69243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283" t="s">
        <v>8</v>
      </c>
      <c r="B59" s="167"/>
      <c r="C59" s="301">
        <f t="shared" ref="C59:L59" si="23">C14/C$9</f>
        <v>6954.545455</v>
      </c>
      <c r="D59" s="301">
        <f t="shared" si="23"/>
        <v>2543.859649</v>
      </c>
      <c r="E59" s="301">
        <f t="shared" si="23"/>
        <v>420.7119741</v>
      </c>
      <c r="F59" s="301">
        <f t="shared" si="23"/>
        <v>75.18796992</v>
      </c>
      <c r="G59" s="301">
        <f t="shared" si="23"/>
        <v>61.34969325</v>
      </c>
      <c r="H59" s="301">
        <f t="shared" si="23"/>
        <v>0</v>
      </c>
      <c r="I59" s="301">
        <f t="shared" si="23"/>
        <v>0</v>
      </c>
      <c r="J59" s="301">
        <f t="shared" si="23"/>
        <v>0</v>
      </c>
      <c r="K59" s="301">
        <f t="shared" si="23"/>
        <v>44.84304933</v>
      </c>
      <c r="L59" s="302">
        <f t="shared" si="23"/>
        <v>44.84304933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286" t="s">
        <v>9</v>
      </c>
      <c r="B60" s="287"/>
      <c r="C60" s="303">
        <f t="shared" ref="C60:L60" si="24">SUM(C58:C59)</f>
        <v>24141.31651</v>
      </c>
      <c r="D60" s="303">
        <f t="shared" si="24"/>
        <v>20063.90033</v>
      </c>
      <c r="E60" s="303">
        <f t="shared" si="24"/>
        <v>18280.68767</v>
      </c>
      <c r="F60" s="303">
        <f t="shared" si="24"/>
        <v>18281.89739</v>
      </c>
      <c r="G60" s="303">
        <f t="shared" si="24"/>
        <v>18621.72751</v>
      </c>
      <c r="H60" s="303">
        <f t="shared" si="24"/>
        <v>18921.11957</v>
      </c>
      <c r="I60" s="303">
        <f t="shared" si="24"/>
        <v>19289.07617</v>
      </c>
      <c r="J60" s="303">
        <f t="shared" si="24"/>
        <v>19664.3919</v>
      </c>
      <c r="K60" s="303">
        <f t="shared" si="24"/>
        <v>20092.05699</v>
      </c>
      <c r="L60" s="304">
        <f t="shared" si="24"/>
        <v>20482.53548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290"/>
      <c r="B61" s="280"/>
      <c r="C61" s="305"/>
      <c r="D61" s="305"/>
      <c r="E61" s="305"/>
      <c r="F61" s="305"/>
      <c r="G61" s="305"/>
      <c r="H61" s="305"/>
      <c r="I61" s="305"/>
      <c r="J61" s="305"/>
      <c r="K61" s="305"/>
      <c r="L61" s="30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279" t="s">
        <v>304</v>
      </c>
      <c r="B62" s="280"/>
      <c r="C62" s="305"/>
      <c r="D62" s="305"/>
      <c r="E62" s="305"/>
      <c r="F62" s="305"/>
      <c r="G62" s="305"/>
      <c r="H62" s="305"/>
      <c r="I62" s="305"/>
      <c r="J62" s="305"/>
      <c r="K62" s="305"/>
      <c r="L62" s="30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283" t="s">
        <v>305</v>
      </c>
      <c r="B63" s="167"/>
      <c r="C63" s="299">
        <f t="shared" ref="C63:L63" si="25">C18/C$9</f>
        <v>12642.95184</v>
      </c>
      <c r="D63" s="299">
        <f t="shared" si="25"/>
        <v>10544.8166</v>
      </c>
      <c r="E63" s="299">
        <f t="shared" si="25"/>
        <v>10278.89624</v>
      </c>
      <c r="F63" s="299">
        <f t="shared" si="25"/>
        <v>11704.96394</v>
      </c>
      <c r="G63" s="299">
        <f t="shared" si="25"/>
        <v>12057.01727</v>
      </c>
      <c r="H63" s="299">
        <f t="shared" si="25"/>
        <v>11610.44605</v>
      </c>
      <c r="I63" s="299">
        <f t="shared" si="25"/>
        <v>11151.23027</v>
      </c>
      <c r="J63" s="299">
        <f t="shared" si="25"/>
        <v>11554.5682</v>
      </c>
      <c r="K63" s="299">
        <f t="shared" si="25"/>
        <v>11784.04521</v>
      </c>
      <c r="L63" s="300">
        <f t="shared" si="25"/>
        <v>12018.11177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283" t="s">
        <v>306</v>
      </c>
      <c r="B64" s="167"/>
      <c r="C64" s="301">
        <f t="shared" ref="C64:L64" si="26">C19/C$9</f>
        <v>2386.023569</v>
      </c>
      <c r="D64" s="301">
        <f t="shared" si="26"/>
        <v>1776.727355</v>
      </c>
      <c r="E64" s="301">
        <f t="shared" si="26"/>
        <v>1643.479136</v>
      </c>
      <c r="F64" s="301">
        <f t="shared" si="26"/>
        <v>1582.489763</v>
      </c>
      <c r="G64" s="301">
        <f t="shared" si="26"/>
        <v>1504.677673</v>
      </c>
      <c r="H64" s="301">
        <f t="shared" si="26"/>
        <v>1465.778536</v>
      </c>
      <c r="I64" s="301">
        <f t="shared" si="26"/>
        <v>1428.958345</v>
      </c>
      <c r="J64" s="301">
        <f t="shared" si="26"/>
        <v>1457.340203</v>
      </c>
      <c r="K64" s="301">
        <f t="shared" si="26"/>
        <v>1486.289697</v>
      </c>
      <c r="L64" s="302">
        <f t="shared" si="26"/>
        <v>1515.818182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283" t="s">
        <v>27</v>
      </c>
      <c r="B65" s="167"/>
      <c r="C65" s="301">
        <f t="shared" ref="C65:L65" si="27">C20/C$9</f>
        <v>2669.174467</v>
      </c>
      <c r="D65" s="301">
        <f t="shared" si="27"/>
        <v>2443.935251</v>
      </c>
      <c r="E65" s="301">
        <f t="shared" si="27"/>
        <v>2245.49687</v>
      </c>
      <c r="F65" s="301">
        <f t="shared" si="27"/>
        <v>2187.775277</v>
      </c>
      <c r="G65" s="301">
        <f t="shared" si="27"/>
        <v>2157.368211</v>
      </c>
      <c r="H65" s="301">
        <f t="shared" si="27"/>
        <v>2155.638366</v>
      </c>
      <c r="I65" s="301">
        <f t="shared" si="27"/>
        <v>2112.545164</v>
      </c>
      <c r="J65" s="301">
        <f t="shared" si="27"/>
        <v>2178.097054</v>
      </c>
      <c r="K65" s="301">
        <f t="shared" si="27"/>
        <v>2222.645704</v>
      </c>
      <c r="L65" s="302">
        <f t="shared" si="27"/>
        <v>2049.750911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283" t="s">
        <v>307</v>
      </c>
      <c r="B66" s="167"/>
      <c r="C66" s="301">
        <f t="shared" ref="C66:L66" si="28">C21/C$9</f>
        <v>423.7272727</v>
      </c>
      <c r="D66" s="301">
        <f t="shared" si="28"/>
        <v>249.5350877</v>
      </c>
      <c r="E66" s="301">
        <f t="shared" si="28"/>
        <v>197.4289968</v>
      </c>
      <c r="F66" s="301">
        <f t="shared" si="28"/>
        <v>266.9721083</v>
      </c>
      <c r="G66" s="301">
        <f t="shared" si="28"/>
        <v>176.8154287</v>
      </c>
      <c r="H66" s="301">
        <f t="shared" si="28"/>
        <v>158.7636343</v>
      </c>
      <c r="I66" s="301">
        <f t="shared" si="28"/>
        <v>176.4158307</v>
      </c>
      <c r="J66" s="301">
        <f t="shared" si="28"/>
        <v>139.5046173</v>
      </c>
      <c r="K66" s="301">
        <f t="shared" si="28"/>
        <v>146.3577888</v>
      </c>
      <c r="L66" s="302">
        <f t="shared" si="28"/>
        <v>147.2469775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283" t="s">
        <v>308</v>
      </c>
      <c r="B67" s="167"/>
      <c r="C67" s="301">
        <f t="shared" ref="C67:L67" si="29">C22/C$9</f>
        <v>2380.909091</v>
      </c>
      <c r="D67" s="301">
        <f t="shared" si="29"/>
        <v>1148.684211</v>
      </c>
      <c r="E67" s="301">
        <f t="shared" si="29"/>
        <v>1130.097087</v>
      </c>
      <c r="F67" s="301">
        <f t="shared" si="29"/>
        <v>875.1879699</v>
      </c>
      <c r="G67" s="301">
        <f t="shared" si="29"/>
        <v>892.6380368</v>
      </c>
      <c r="H67" s="301">
        <f t="shared" si="29"/>
        <v>904.6632124</v>
      </c>
      <c r="I67" s="301">
        <f t="shared" si="29"/>
        <v>913.4529148</v>
      </c>
      <c r="J67" s="301">
        <f t="shared" si="29"/>
        <v>913.4529148</v>
      </c>
      <c r="K67" s="301">
        <f t="shared" si="29"/>
        <v>913.4529148</v>
      </c>
      <c r="L67" s="302">
        <f t="shared" si="29"/>
        <v>913.4529148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286" t="s">
        <v>310</v>
      </c>
      <c r="B68" s="287"/>
      <c r="C68" s="303">
        <f t="shared" ref="C68:L68" si="30">SUM(C63:C67)</f>
        <v>20502.78623</v>
      </c>
      <c r="D68" s="303">
        <f t="shared" si="30"/>
        <v>16163.6985</v>
      </c>
      <c r="E68" s="303">
        <f t="shared" si="30"/>
        <v>15495.39833</v>
      </c>
      <c r="F68" s="303">
        <f t="shared" si="30"/>
        <v>16617.38906</v>
      </c>
      <c r="G68" s="303">
        <f t="shared" si="30"/>
        <v>16788.51662</v>
      </c>
      <c r="H68" s="303">
        <f t="shared" si="30"/>
        <v>16295.2898</v>
      </c>
      <c r="I68" s="303">
        <f t="shared" si="30"/>
        <v>15782.60252</v>
      </c>
      <c r="J68" s="303">
        <f t="shared" si="30"/>
        <v>16242.96299</v>
      </c>
      <c r="K68" s="303">
        <f t="shared" si="30"/>
        <v>16552.79132</v>
      </c>
      <c r="L68" s="304">
        <f t="shared" si="30"/>
        <v>16644.38075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291"/>
      <c r="B69" s="292"/>
      <c r="C69" s="307"/>
      <c r="D69" s="307"/>
      <c r="E69" s="307"/>
      <c r="F69" s="307"/>
      <c r="G69" s="307"/>
      <c r="H69" s="307"/>
      <c r="I69" s="307"/>
      <c r="J69" s="307"/>
      <c r="K69" s="307"/>
      <c r="L69" s="308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295" t="s">
        <v>311</v>
      </c>
      <c r="B70" s="296"/>
      <c r="C70" s="309">
        <f t="shared" ref="C70:L70" si="31">+C60-C68</f>
        <v>3638.530276</v>
      </c>
      <c r="D70" s="309">
        <f t="shared" si="31"/>
        <v>3900.201829</v>
      </c>
      <c r="E70" s="309">
        <f t="shared" si="31"/>
        <v>2785.289345</v>
      </c>
      <c r="F70" s="309">
        <f t="shared" si="31"/>
        <v>1664.508334</v>
      </c>
      <c r="G70" s="309">
        <f t="shared" si="31"/>
        <v>1833.210882</v>
      </c>
      <c r="H70" s="309">
        <f t="shared" si="31"/>
        <v>2625.829774</v>
      </c>
      <c r="I70" s="309">
        <f t="shared" si="31"/>
        <v>3506.473648</v>
      </c>
      <c r="J70" s="309">
        <f t="shared" si="31"/>
        <v>3421.428912</v>
      </c>
      <c r="K70" s="309">
        <f t="shared" si="31"/>
        <v>3539.265674</v>
      </c>
      <c r="L70" s="310">
        <f t="shared" si="31"/>
        <v>3838.154723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5:L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2.63" defaultRowHeight="15.0" outlineLevelCol="1"/>
  <cols>
    <col customWidth="1" min="1" max="1" width="30.88"/>
    <col customWidth="1" min="2" max="14" width="13.63"/>
    <col customWidth="1" min="15" max="15" width="13.63" outlineLevel="1"/>
    <col customWidth="1" min="16" max="28" width="13.63"/>
    <col min="29" max="29" width="12.63" outlineLevel="1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ht="15.75" customHeight="1">
      <c r="A2" s="11" t="s">
        <v>322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ht="15.75" customHeight="1">
      <c r="A5" s="13"/>
      <c r="B5" s="15" t="s">
        <v>323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11" t="s">
        <v>324</v>
      </c>
      <c r="O5" s="312" t="s">
        <v>325</v>
      </c>
      <c r="P5" s="313" t="s">
        <v>326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311" t="s">
        <v>327</v>
      </c>
      <c r="AC5" s="312" t="s">
        <v>325</v>
      </c>
    </row>
    <row r="6" ht="15.75" customHeight="1">
      <c r="A6" s="20" t="s">
        <v>328</v>
      </c>
      <c r="B6" s="22" t="s">
        <v>329</v>
      </c>
      <c r="C6" s="22" t="s">
        <v>330</v>
      </c>
      <c r="D6" s="22" t="s">
        <v>331</v>
      </c>
      <c r="E6" s="22" t="s">
        <v>332</v>
      </c>
      <c r="F6" s="22" t="s">
        <v>333</v>
      </c>
      <c r="G6" s="314" t="s">
        <v>334</v>
      </c>
      <c r="H6" s="22" t="s">
        <v>335</v>
      </c>
      <c r="I6" s="22" t="s">
        <v>336</v>
      </c>
      <c r="J6" s="22" t="s">
        <v>337</v>
      </c>
      <c r="K6" s="22" t="s">
        <v>338</v>
      </c>
      <c r="L6" s="22" t="s">
        <v>339</v>
      </c>
      <c r="M6" s="22" t="s">
        <v>340</v>
      </c>
      <c r="N6" s="315"/>
      <c r="O6" s="22"/>
      <c r="P6" s="316" t="s">
        <v>329</v>
      </c>
      <c r="Q6" s="22" t="s">
        <v>330</v>
      </c>
      <c r="R6" s="22" t="s">
        <v>331</v>
      </c>
      <c r="S6" s="22" t="s">
        <v>332</v>
      </c>
      <c r="T6" s="22" t="s">
        <v>333</v>
      </c>
      <c r="U6" s="22" t="s">
        <v>334</v>
      </c>
      <c r="V6" s="22" t="s">
        <v>335</v>
      </c>
      <c r="W6" s="22" t="s">
        <v>336</v>
      </c>
      <c r="X6" s="22" t="s">
        <v>337</v>
      </c>
      <c r="Y6" s="22" t="s">
        <v>338</v>
      </c>
      <c r="Z6" s="22" t="s">
        <v>339</v>
      </c>
      <c r="AA6" s="22" t="s">
        <v>340</v>
      </c>
      <c r="AB6" s="315"/>
      <c r="AC6" s="317"/>
    </row>
    <row r="7" ht="15.75" customHeight="1">
      <c r="A7" s="10"/>
      <c r="B7" s="10"/>
      <c r="C7" s="10"/>
      <c r="D7" s="10"/>
      <c r="E7" s="10"/>
      <c r="F7" s="10"/>
      <c r="G7" s="318"/>
      <c r="H7" s="10"/>
      <c r="I7" s="10"/>
      <c r="J7" s="10"/>
      <c r="K7" s="10"/>
      <c r="L7" s="10"/>
      <c r="M7" s="10"/>
      <c r="N7" s="44"/>
      <c r="O7" s="10"/>
      <c r="P7" s="319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44"/>
      <c r="AC7" s="320"/>
    </row>
    <row r="8" ht="15.75" customHeight="1">
      <c r="A8" s="11" t="s">
        <v>303</v>
      </c>
      <c r="B8" s="10"/>
      <c r="C8" s="10"/>
      <c r="D8" s="10"/>
      <c r="E8" s="10"/>
      <c r="F8" s="10"/>
      <c r="G8" s="318"/>
      <c r="H8" s="10"/>
      <c r="I8" s="10"/>
      <c r="J8" s="10"/>
      <c r="K8" s="10"/>
      <c r="L8" s="10"/>
      <c r="M8" s="10"/>
      <c r="N8" s="44"/>
      <c r="O8" s="10"/>
      <c r="P8" s="319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44"/>
      <c r="AC8" s="320"/>
    </row>
    <row r="9" ht="15.75" customHeight="1">
      <c r="A9" s="10" t="s">
        <v>7</v>
      </c>
      <c r="B9" s="170">
        <v>0.0</v>
      </c>
      <c r="C9" s="170">
        <v>0.0</v>
      </c>
      <c r="D9" s="170">
        <v>0.0</v>
      </c>
      <c r="E9" s="170">
        <v>0.0</v>
      </c>
      <c r="F9" s="170">
        <v>0.0</v>
      </c>
      <c r="G9" s="321">
        <v>0.0</v>
      </c>
      <c r="H9" s="170">
        <v>0.0</v>
      </c>
      <c r="I9" s="170">
        <v>0.0</v>
      </c>
      <c r="J9" s="170">
        <v>0.0</v>
      </c>
      <c r="K9" s="170">
        <v>0.0</v>
      </c>
      <c r="L9" s="170">
        <v>0.0</v>
      </c>
      <c r="M9" s="170">
        <v>0.0</v>
      </c>
      <c r="N9" s="169">
        <f>SUM(B9:M9)</f>
        <v>0</v>
      </c>
      <c r="O9" s="170">
        <f>+N9-'Financial Summary'!B13</f>
        <v>0</v>
      </c>
      <c r="P9" s="211">
        <v>0.0</v>
      </c>
      <c r="Q9" s="170">
        <v>0.0</v>
      </c>
      <c r="R9" s="170">
        <f>'Enrollment &amp; Revenue'!C81/10</f>
        <v>189054.4816</v>
      </c>
      <c r="S9" s="170">
        <f t="shared" ref="S9:AA9" si="1">+R9</f>
        <v>189054.4816</v>
      </c>
      <c r="T9" s="170">
        <f t="shared" si="1"/>
        <v>189054.4816</v>
      </c>
      <c r="U9" s="170">
        <f t="shared" si="1"/>
        <v>189054.4816</v>
      </c>
      <c r="V9" s="170">
        <f t="shared" si="1"/>
        <v>189054.4816</v>
      </c>
      <c r="W9" s="170">
        <f t="shared" si="1"/>
        <v>189054.4816</v>
      </c>
      <c r="X9" s="170">
        <f t="shared" si="1"/>
        <v>189054.4816</v>
      </c>
      <c r="Y9" s="170">
        <f t="shared" si="1"/>
        <v>189054.4816</v>
      </c>
      <c r="Z9" s="170">
        <f t="shared" si="1"/>
        <v>189054.4816</v>
      </c>
      <c r="AA9" s="170">
        <f t="shared" si="1"/>
        <v>189054.4816</v>
      </c>
      <c r="AB9" s="169">
        <f>SUM(P9:AA9)</f>
        <v>1890544.816</v>
      </c>
      <c r="AC9" s="322">
        <f>+AB9-'Financial Summary'!C13</f>
        <v>0</v>
      </c>
    </row>
    <row r="10" ht="15.75" customHeight="1">
      <c r="A10" s="10" t="s">
        <v>8</v>
      </c>
      <c r="B10" s="62">
        <f t="shared" ref="B10:K10" si="2">SUM(B11:B15)</f>
        <v>261730.44</v>
      </c>
      <c r="C10" s="62">
        <f t="shared" si="2"/>
        <v>38100</v>
      </c>
      <c r="D10" s="62">
        <f t="shared" si="2"/>
        <v>50000</v>
      </c>
      <c r="E10" s="62">
        <f t="shared" si="2"/>
        <v>5000</v>
      </c>
      <c r="F10" s="62">
        <f t="shared" si="2"/>
        <v>0</v>
      </c>
      <c r="G10" s="323">
        <f t="shared" si="2"/>
        <v>11500</v>
      </c>
      <c r="H10" s="62">
        <f t="shared" si="2"/>
        <v>75000</v>
      </c>
      <c r="I10" s="62">
        <f t="shared" si="2"/>
        <v>0</v>
      </c>
      <c r="J10" s="62">
        <f t="shared" si="2"/>
        <v>0</v>
      </c>
      <c r="K10" s="62">
        <f t="shared" si="2"/>
        <v>50000</v>
      </c>
      <c r="L10" s="62">
        <f>SUM(L12:L15)</f>
        <v>0</v>
      </c>
      <c r="M10" s="62">
        <f t="shared" ref="M10:N10" si="3">SUM(M11:M15)</f>
        <v>210000</v>
      </c>
      <c r="N10" s="61">
        <f t="shared" si="3"/>
        <v>701330.44</v>
      </c>
      <c r="O10" s="62">
        <f>+N10-'Financial Summary'!B14</f>
        <v>0</v>
      </c>
      <c r="P10" s="213">
        <f t="shared" ref="P10:AB10" si="4">SUM(P11:P15)</f>
        <v>357750</v>
      </c>
      <c r="Q10" s="62">
        <f t="shared" si="4"/>
        <v>114750</v>
      </c>
      <c r="R10" s="62">
        <f t="shared" si="4"/>
        <v>13750</v>
      </c>
      <c r="S10" s="62">
        <f t="shared" si="4"/>
        <v>43750</v>
      </c>
      <c r="T10" s="62">
        <f t="shared" si="4"/>
        <v>13750</v>
      </c>
      <c r="U10" s="62">
        <f t="shared" si="4"/>
        <v>138750</v>
      </c>
      <c r="V10" s="62">
        <f t="shared" si="4"/>
        <v>13750</v>
      </c>
      <c r="W10" s="62">
        <f t="shared" si="4"/>
        <v>13750</v>
      </c>
      <c r="X10" s="62">
        <f t="shared" si="4"/>
        <v>13750</v>
      </c>
      <c r="Y10" s="62">
        <f t="shared" si="4"/>
        <v>13750</v>
      </c>
      <c r="Z10" s="62">
        <f t="shared" si="4"/>
        <v>13750</v>
      </c>
      <c r="AA10" s="62">
        <f t="shared" si="4"/>
        <v>13750</v>
      </c>
      <c r="AB10" s="61">
        <f t="shared" si="4"/>
        <v>765000</v>
      </c>
      <c r="AC10" s="324">
        <f>+AB10-'Financial Summary'!C14</f>
        <v>0</v>
      </c>
    </row>
    <row r="11" ht="15.75" customHeight="1">
      <c r="A11" s="29" t="s">
        <v>341</v>
      </c>
      <c r="B11" s="95">
        <v>261730.44</v>
      </c>
      <c r="C11" s="265">
        <v>0.0</v>
      </c>
      <c r="D11" s="265">
        <v>0.0</v>
      </c>
      <c r="E11" s="265">
        <v>0.0</v>
      </c>
      <c r="F11" s="265">
        <v>0.0</v>
      </c>
      <c r="G11" s="325">
        <v>0.0</v>
      </c>
      <c r="H11" s="326"/>
      <c r="I11" s="327">
        <v>0.0</v>
      </c>
      <c r="J11" s="326">
        <v>0.0</v>
      </c>
      <c r="K11" s="326">
        <v>0.0</v>
      </c>
      <c r="L11" s="327">
        <v>0.0</v>
      </c>
      <c r="M11" s="327">
        <v>210000.0</v>
      </c>
      <c r="N11" s="264">
        <f t="shared" ref="N11:N15" si="5">SUM(B11:M11)</f>
        <v>471730.44</v>
      </c>
      <c r="O11" s="62"/>
      <c r="P11" s="328">
        <v>237750.0</v>
      </c>
      <c r="Q11" s="328">
        <v>114750.0</v>
      </c>
      <c r="R11" s="328">
        <v>13750.0</v>
      </c>
      <c r="S11" s="328">
        <v>13750.0</v>
      </c>
      <c r="T11" s="328">
        <v>13750.0</v>
      </c>
      <c r="U11" s="328">
        <v>13750.0</v>
      </c>
      <c r="V11" s="328">
        <v>13750.0</v>
      </c>
      <c r="W11" s="328">
        <v>13750.0</v>
      </c>
      <c r="X11" s="328">
        <v>13750.0</v>
      </c>
      <c r="Y11" s="328">
        <v>13750.0</v>
      </c>
      <c r="Z11" s="328">
        <v>13750.0</v>
      </c>
      <c r="AA11" s="328">
        <v>13750.0</v>
      </c>
      <c r="AB11" s="264">
        <f>SUM(P11:AA11)</f>
        <v>490000</v>
      </c>
      <c r="AC11" s="329"/>
    </row>
    <row r="12" ht="15.75" customHeight="1">
      <c r="A12" s="29" t="s">
        <v>70</v>
      </c>
      <c r="B12" s="265">
        <v>0.0</v>
      </c>
      <c r="C12" s="265">
        <v>0.0</v>
      </c>
      <c r="D12" s="265">
        <v>0.0</v>
      </c>
      <c r="E12" s="265">
        <v>0.0</v>
      </c>
      <c r="F12" s="265">
        <v>0.0</v>
      </c>
      <c r="G12" s="325">
        <v>0.0</v>
      </c>
      <c r="H12" s="326">
        <v>0.0</v>
      </c>
      <c r="I12" s="326">
        <v>0.0</v>
      </c>
      <c r="J12" s="326">
        <v>0.0</v>
      </c>
      <c r="K12" s="326">
        <v>0.0</v>
      </c>
      <c r="L12" s="326">
        <v>0.0</v>
      </c>
      <c r="M12" s="326">
        <v>0.0</v>
      </c>
      <c r="N12" s="264">
        <f t="shared" si="5"/>
        <v>0</v>
      </c>
      <c r="O12" s="324"/>
      <c r="P12" s="328">
        <v>0.0</v>
      </c>
      <c r="Q12" s="328">
        <v>0.0</v>
      </c>
      <c r="R12" s="328">
        <v>0.0</v>
      </c>
      <c r="S12" s="326">
        <v>0.0</v>
      </c>
      <c r="T12" s="326">
        <v>0.0</v>
      </c>
      <c r="U12" s="326">
        <v>0.0</v>
      </c>
      <c r="V12" s="326">
        <v>0.0</v>
      </c>
      <c r="W12" s="326">
        <v>0.0</v>
      </c>
      <c r="X12" s="326">
        <v>0.0</v>
      </c>
      <c r="Y12" s="326">
        <v>0.0</v>
      </c>
      <c r="Z12" s="326">
        <v>0.0</v>
      </c>
      <c r="AA12" s="327">
        <v>0.0</v>
      </c>
      <c r="AB12" s="264">
        <f>SUM(Q12:AA12)</f>
        <v>0</v>
      </c>
      <c r="AC12" s="329"/>
    </row>
    <row r="13" ht="15.75" customHeight="1">
      <c r="A13" s="29" t="s">
        <v>342</v>
      </c>
      <c r="B13" s="265">
        <v>0.0</v>
      </c>
      <c r="C13" s="265">
        <v>0.0</v>
      </c>
      <c r="D13" s="265">
        <v>50000.0</v>
      </c>
      <c r="E13" s="265">
        <v>0.0</v>
      </c>
      <c r="F13" s="265">
        <v>0.0</v>
      </c>
      <c r="G13" s="325">
        <v>0.0</v>
      </c>
      <c r="H13" s="326">
        <v>75000.0</v>
      </c>
      <c r="I13" s="326">
        <v>0.0</v>
      </c>
      <c r="J13" s="326">
        <v>0.0</v>
      </c>
      <c r="K13" s="326">
        <v>50000.0</v>
      </c>
      <c r="L13" s="326">
        <v>0.0</v>
      </c>
      <c r="M13" s="326">
        <v>0.0</v>
      </c>
      <c r="N13" s="264">
        <f t="shared" si="5"/>
        <v>175000</v>
      </c>
      <c r="O13" s="324"/>
      <c r="P13" s="326">
        <v>0.0</v>
      </c>
      <c r="Q13" s="326">
        <v>0.0</v>
      </c>
      <c r="R13" s="326">
        <v>0.0</v>
      </c>
      <c r="S13" s="326">
        <v>0.0</v>
      </c>
      <c r="T13" s="326">
        <v>0.0</v>
      </c>
      <c r="U13" s="326">
        <v>25000.0</v>
      </c>
      <c r="V13" s="326">
        <v>0.0</v>
      </c>
      <c r="W13" s="326">
        <v>0.0</v>
      </c>
      <c r="X13" s="326">
        <v>0.0</v>
      </c>
      <c r="Y13" s="326">
        <v>0.0</v>
      </c>
      <c r="Z13" s="326">
        <v>0.0</v>
      </c>
      <c r="AA13" s="326">
        <v>0.0</v>
      </c>
      <c r="AB13" s="264">
        <f t="shared" ref="AB13:AB15" si="6">SUM(P13:AA13)</f>
        <v>25000</v>
      </c>
      <c r="AC13" s="329"/>
    </row>
    <row r="14" ht="15.75" customHeight="1">
      <c r="A14" s="29" t="s">
        <v>73</v>
      </c>
      <c r="B14" s="265">
        <v>0.0</v>
      </c>
      <c r="C14" s="265">
        <v>0.0</v>
      </c>
      <c r="D14" s="265">
        <v>0.0</v>
      </c>
      <c r="E14" s="265">
        <v>0.0</v>
      </c>
      <c r="F14" s="265">
        <v>0.0</v>
      </c>
      <c r="G14" s="325">
        <v>0.0</v>
      </c>
      <c r="H14" s="326">
        <v>0.0</v>
      </c>
      <c r="I14" s="326">
        <v>0.0</v>
      </c>
      <c r="J14" s="326">
        <v>0.0</v>
      </c>
      <c r="K14" s="326">
        <v>0.0</v>
      </c>
      <c r="L14" s="327">
        <v>0.0</v>
      </c>
      <c r="M14" s="326">
        <v>0.0</v>
      </c>
      <c r="N14" s="264">
        <f t="shared" si="5"/>
        <v>0</v>
      </c>
      <c r="O14" s="62"/>
      <c r="P14" s="330">
        <v>120000.0</v>
      </c>
      <c r="Q14" s="326">
        <v>0.0</v>
      </c>
      <c r="R14" s="326">
        <v>0.0</v>
      </c>
      <c r="S14" s="326">
        <v>0.0</v>
      </c>
      <c r="T14" s="326">
        <v>0.0</v>
      </c>
      <c r="U14" s="327">
        <v>100000.0</v>
      </c>
      <c r="V14" s="326">
        <v>0.0</v>
      </c>
      <c r="W14" s="326">
        <v>0.0</v>
      </c>
      <c r="X14" s="326">
        <v>0.0</v>
      </c>
      <c r="Y14" s="326">
        <v>0.0</v>
      </c>
      <c r="Z14" s="326">
        <v>0.0</v>
      </c>
      <c r="AA14" s="326">
        <v>0.0</v>
      </c>
      <c r="AB14" s="264">
        <f t="shared" si="6"/>
        <v>220000</v>
      </c>
      <c r="AC14" s="329"/>
    </row>
    <row r="15" ht="15.75" customHeight="1">
      <c r="A15" s="29" t="s">
        <v>74</v>
      </c>
      <c r="B15" s="265">
        <v>0.0</v>
      </c>
      <c r="C15" s="265">
        <v>38100.0</v>
      </c>
      <c r="D15" s="265">
        <v>0.0</v>
      </c>
      <c r="E15" s="265">
        <v>5000.0</v>
      </c>
      <c r="F15" s="265">
        <v>0.0</v>
      </c>
      <c r="G15" s="325">
        <v>11500.0</v>
      </c>
      <c r="H15" s="326">
        <v>0.0</v>
      </c>
      <c r="I15" s="326">
        <v>0.0</v>
      </c>
      <c r="J15" s="326">
        <v>0.0</v>
      </c>
      <c r="K15" s="326">
        <v>0.0</v>
      </c>
      <c r="L15" s="326">
        <v>0.0</v>
      </c>
      <c r="M15" s="326">
        <v>0.0</v>
      </c>
      <c r="N15" s="264">
        <f t="shared" si="5"/>
        <v>54600</v>
      </c>
      <c r="O15" s="62"/>
      <c r="P15" s="331">
        <v>0.0</v>
      </c>
      <c r="Q15" s="326">
        <v>0.0</v>
      </c>
      <c r="R15" s="326">
        <v>0.0</v>
      </c>
      <c r="S15" s="326">
        <v>30000.0</v>
      </c>
      <c r="T15" s="326">
        <v>0.0</v>
      </c>
      <c r="U15" s="326">
        <v>0.0</v>
      </c>
      <c r="V15" s="326"/>
      <c r="W15" s="326">
        <v>0.0</v>
      </c>
      <c r="X15" s="326">
        <v>0.0</v>
      </c>
      <c r="Y15" s="326">
        <v>0.0</v>
      </c>
      <c r="Z15" s="326">
        <v>0.0</v>
      </c>
      <c r="AA15" s="326">
        <v>0.0</v>
      </c>
      <c r="AB15" s="264">
        <f t="shared" si="6"/>
        <v>30000</v>
      </c>
      <c r="AC15" s="329"/>
    </row>
    <row r="16" ht="15.75" customHeight="1">
      <c r="A16" s="36" t="s">
        <v>9</v>
      </c>
      <c r="B16" s="42">
        <f t="shared" ref="B16:AC16" si="7">B9+B10</f>
        <v>261730.44</v>
      </c>
      <c r="C16" s="42">
        <f t="shared" si="7"/>
        <v>38100</v>
      </c>
      <c r="D16" s="42">
        <f t="shared" si="7"/>
        <v>50000</v>
      </c>
      <c r="E16" s="42">
        <f t="shared" si="7"/>
        <v>5000</v>
      </c>
      <c r="F16" s="42">
        <f t="shared" si="7"/>
        <v>0</v>
      </c>
      <c r="G16" s="332">
        <f t="shared" si="7"/>
        <v>11500</v>
      </c>
      <c r="H16" s="42">
        <f t="shared" si="7"/>
        <v>75000</v>
      </c>
      <c r="I16" s="42">
        <f t="shared" si="7"/>
        <v>0</v>
      </c>
      <c r="J16" s="42">
        <f t="shared" si="7"/>
        <v>0</v>
      </c>
      <c r="K16" s="42">
        <f t="shared" si="7"/>
        <v>50000</v>
      </c>
      <c r="L16" s="42">
        <f t="shared" si="7"/>
        <v>0</v>
      </c>
      <c r="M16" s="42">
        <f t="shared" si="7"/>
        <v>210000</v>
      </c>
      <c r="N16" s="41">
        <f t="shared" si="7"/>
        <v>701330.44</v>
      </c>
      <c r="O16" s="42">
        <f t="shared" si="7"/>
        <v>0</v>
      </c>
      <c r="P16" s="214">
        <f t="shared" si="7"/>
        <v>357750</v>
      </c>
      <c r="Q16" s="42">
        <f t="shared" si="7"/>
        <v>114750</v>
      </c>
      <c r="R16" s="42">
        <f t="shared" si="7"/>
        <v>202804.4816</v>
      </c>
      <c r="S16" s="42">
        <f t="shared" si="7"/>
        <v>232804.4816</v>
      </c>
      <c r="T16" s="42">
        <f t="shared" si="7"/>
        <v>202804.4816</v>
      </c>
      <c r="U16" s="42">
        <f t="shared" si="7"/>
        <v>327804.4816</v>
      </c>
      <c r="V16" s="42">
        <f t="shared" si="7"/>
        <v>202804.4816</v>
      </c>
      <c r="W16" s="42">
        <f t="shared" si="7"/>
        <v>202804.4816</v>
      </c>
      <c r="X16" s="42">
        <f t="shared" si="7"/>
        <v>202804.4816</v>
      </c>
      <c r="Y16" s="42">
        <f t="shared" si="7"/>
        <v>202804.4816</v>
      </c>
      <c r="Z16" s="42">
        <f t="shared" si="7"/>
        <v>202804.4816</v>
      </c>
      <c r="AA16" s="42">
        <f t="shared" si="7"/>
        <v>202804.4816</v>
      </c>
      <c r="AB16" s="41">
        <f t="shared" si="7"/>
        <v>2655544.816</v>
      </c>
      <c r="AC16" s="333">
        <f t="shared" si="7"/>
        <v>0</v>
      </c>
    </row>
    <row r="17" ht="15.75" customHeight="1">
      <c r="A17" s="10"/>
      <c r="B17" s="10"/>
      <c r="C17" s="10"/>
      <c r="D17" s="10"/>
      <c r="E17" s="10"/>
      <c r="F17" s="10"/>
      <c r="G17" s="318"/>
      <c r="H17" s="10"/>
      <c r="I17" s="10"/>
      <c r="J17" s="10"/>
      <c r="K17" s="10"/>
      <c r="L17" s="10"/>
      <c r="M17" s="10"/>
      <c r="N17" s="44"/>
      <c r="O17" s="10"/>
      <c r="P17" s="319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44"/>
      <c r="AC17" s="320"/>
    </row>
    <row r="18" ht="15.75" customHeight="1">
      <c r="A18" s="11" t="s">
        <v>304</v>
      </c>
      <c r="B18" s="10"/>
      <c r="C18" s="10"/>
      <c r="D18" s="10"/>
      <c r="E18" s="10"/>
      <c r="F18" s="10"/>
      <c r="G18" s="318"/>
      <c r="H18" s="10"/>
      <c r="I18" s="10"/>
      <c r="J18" s="10"/>
      <c r="K18" s="10"/>
      <c r="L18" s="10"/>
      <c r="M18" s="10"/>
      <c r="N18" s="44"/>
      <c r="O18" s="10"/>
      <c r="P18" s="319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44"/>
      <c r="AC18" s="320"/>
    </row>
    <row r="19" ht="15.75" customHeight="1">
      <c r="A19" s="10" t="s">
        <v>305</v>
      </c>
      <c r="B19" s="170">
        <f t="shared" ref="B19:N19" si="8">B20+B21</f>
        <v>37801.23</v>
      </c>
      <c r="C19" s="170">
        <f t="shared" si="8"/>
        <v>37801.23</v>
      </c>
      <c r="D19" s="170">
        <f t="shared" si="8"/>
        <v>49551.23</v>
      </c>
      <c r="E19" s="170">
        <f t="shared" si="8"/>
        <v>19551.23</v>
      </c>
      <c r="F19" s="170">
        <f t="shared" si="8"/>
        <v>17801.23</v>
      </c>
      <c r="G19" s="321">
        <f t="shared" si="8"/>
        <v>17801.23</v>
      </c>
      <c r="H19" s="170">
        <f t="shared" si="8"/>
        <v>17801.23</v>
      </c>
      <c r="I19" s="170">
        <f t="shared" si="8"/>
        <v>17801.23</v>
      </c>
      <c r="J19" s="170">
        <f t="shared" si="8"/>
        <v>19001.23</v>
      </c>
      <c r="K19" s="170">
        <f t="shared" si="8"/>
        <v>20050.23</v>
      </c>
      <c r="L19" s="170">
        <f t="shared" si="8"/>
        <v>19001.23</v>
      </c>
      <c r="M19" s="170">
        <f t="shared" si="8"/>
        <v>19001.23</v>
      </c>
      <c r="N19" s="169">
        <f t="shared" si="8"/>
        <v>292963.76</v>
      </c>
      <c r="O19" s="322">
        <f>+N19-'Financial Summary'!B18</f>
        <v>0</v>
      </c>
      <c r="P19" s="170">
        <f t="shared" ref="P19:AB19" si="9">P20+P21</f>
        <v>37665.98145</v>
      </c>
      <c r="Q19" s="170">
        <f t="shared" si="9"/>
        <v>115733.7252</v>
      </c>
      <c r="R19" s="170">
        <f t="shared" si="9"/>
        <v>115733.7252</v>
      </c>
      <c r="S19" s="170">
        <f t="shared" si="9"/>
        <v>115733.7252</v>
      </c>
      <c r="T19" s="170">
        <f t="shared" si="9"/>
        <v>115733.7252</v>
      </c>
      <c r="U19" s="170">
        <f t="shared" si="9"/>
        <v>115733.7252</v>
      </c>
      <c r="V19" s="170">
        <f t="shared" si="9"/>
        <v>116933.7252</v>
      </c>
      <c r="W19" s="170">
        <f t="shared" si="9"/>
        <v>115733.7252</v>
      </c>
      <c r="X19" s="170">
        <f t="shared" si="9"/>
        <v>115733.7252</v>
      </c>
      <c r="Y19" s="170">
        <f t="shared" si="9"/>
        <v>115733.7252</v>
      </c>
      <c r="Z19" s="170">
        <f t="shared" si="9"/>
        <v>115733.7252</v>
      </c>
      <c r="AA19" s="170">
        <f t="shared" si="9"/>
        <v>115493.7252</v>
      </c>
      <c r="AB19" s="169">
        <f t="shared" si="9"/>
        <v>1311696.958</v>
      </c>
      <c r="AC19" s="322">
        <f>+AB19-'Financial Summary'!C18</f>
        <v>-79027.74371</v>
      </c>
    </row>
    <row r="20" ht="15.75" customHeight="1">
      <c r="A20" s="29" t="s">
        <v>343</v>
      </c>
      <c r="B20" s="265">
        <f>('Staff &amp; Personnel Expenses'!B124-'Staff &amp; Personnel Expenses'!B122)/12</f>
        <v>17801.23</v>
      </c>
      <c r="C20" s="265">
        <f t="shared" ref="C20:M20" si="10">+B20</f>
        <v>17801.23</v>
      </c>
      <c r="D20" s="265">
        <f t="shared" si="10"/>
        <v>17801.23</v>
      </c>
      <c r="E20" s="265">
        <f t="shared" si="10"/>
        <v>17801.23</v>
      </c>
      <c r="F20" s="265">
        <f t="shared" si="10"/>
        <v>17801.23</v>
      </c>
      <c r="G20" s="325">
        <f t="shared" si="10"/>
        <v>17801.23</v>
      </c>
      <c r="H20" s="265">
        <f t="shared" si="10"/>
        <v>17801.23</v>
      </c>
      <c r="I20" s="265">
        <f t="shared" si="10"/>
        <v>17801.23</v>
      </c>
      <c r="J20" s="265">
        <f t="shared" si="10"/>
        <v>17801.23</v>
      </c>
      <c r="K20" s="265">
        <f t="shared" si="10"/>
        <v>17801.23</v>
      </c>
      <c r="L20" s="265">
        <f t="shared" si="10"/>
        <v>17801.23</v>
      </c>
      <c r="M20" s="265">
        <f t="shared" si="10"/>
        <v>17801.23</v>
      </c>
      <c r="N20" s="264">
        <f t="shared" ref="N20:N21" si="11">SUM(B20:M20)</f>
        <v>213614.76</v>
      </c>
      <c r="O20" s="62"/>
      <c r="P20" s="334">
        <f>+('Staff &amp; Personnel Expenses'!$C$130)</f>
        <v>36465.98145</v>
      </c>
      <c r="Q20" s="265">
        <f>+'Staff &amp; Personnel Expenses'!$C$130+'Staff &amp; Personnel Expenses'!$C$133</f>
        <v>115493.7252</v>
      </c>
      <c r="R20" s="265">
        <f>+'Staff &amp; Personnel Expenses'!$C$130+'Staff &amp; Personnel Expenses'!$C$133</f>
        <v>115493.7252</v>
      </c>
      <c r="S20" s="265">
        <f>+'Staff &amp; Personnel Expenses'!$C$130+'Staff &amp; Personnel Expenses'!$C$133</f>
        <v>115493.7252</v>
      </c>
      <c r="T20" s="265">
        <f>+'Staff &amp; Personnel Expenses'!$C$130+'Staff &amp; Personnel Expenses'!$C$133</f>
        <v>115493.7252</v>
      </c>
      <c r="U20" s="265">
        <f>+'Staff &amp; Personnel Expenses'!$C$130+'Staff &amp; Personnel Expenses'!$C$133</f>
        <v>115493.7252</v>
      </c>
      <c r="V20" s="265">
        <f>+'Staff &amp; Personnel Expenses'!$C$130+'Staff &amp; Personnel Expenses'!$C$133</f>
        <v>115493.7252</v>
      </c>
      <c r="W20" s="265">
        <f>+'Staff &amp; Personnel Expenses'!$C$130+'Staff &amp; Personnel Expenses'!$C$133</f>
        <v>115493.7252</v>
      </c>
      <c r="X20" s="265">
        <f>+'Staff &amp; Personnel Expenses'!$C$130+'Staff &amp; Personnel Expenses'!$C$133</f>
        <v>115493.7252</v>
      </c>
      <c r="Y20" s="265">
        <f>+'Staff &amp; Personnel Expenses'!$C$130+'Staff &amp; Personnel Expenses'!$C$133</f>
        <v>115493.7252</v>
      </c>
      <c r="Z20" s="265">
        <f>+'Staff &amp; Personnel Expenses'!$C$130+'Staff &amp; Personnel Expenses'!$C$133</f>
        <v>115493.7252</v>
      </c>
      <c r="AA20" s="265">
        <f>+'Staff &amp; Personnel Expenses'!$C$130+'Staff &amp; Personnel Expenses'!$C$133</f>
        <v>115493.7252</v>
      </c>
      <c r="AB20" s="264">
        <f t="shared" ref="AB20:AB21" si="14">SUM(P20:AA20)</f>
        <v>1306896.958</v>
      </c>
      <c r="AC20" s="329"/>
    </row>
    <row r="21" ht="15.75" customHeight="1">
      <c r="A21" s="335" t="s">
        <v>344</v>
      </c>
      <c r="B21" s="265">
        <v>20000.0</v>
      </c>
      <c r="C21" s="265">
        <v>20000.0</v>
      </c>
      <c r="D21" s="265">
        <v>31750.0</v>
      </c>
      <c r="E21" s="265">
        <v>1750.0</v>
      </c>
      <c r="F21" s="265">
        <v>0.0</v>
      </c>
      <c r="G21" s="325">
        <v>0.0</v>
      </c>
      <c r="H21" s="265">
        <v>0.0</v>
      </c>
      <c r="I21" s="265">
        <v>0.0</v>
      </c>
      <c r="J21" s="336">
        <v>1200.0</v>
      </c>
      <c r="K21" s="265">
        <f>3999-F21-E21</f>
        <v>2249</v>
      </c>
      <c r="L21" s="336">
        <v>1200.0</v>
      </c>
      <c r="M21" s="336">
        <v>1200.0</v>
      </c>
      <c r="N21" s="264">
        <f t="shared" si="11"/>
        <v>79349</v>
      </c>
      <c r="O21" s="62"/>
      <c r="P21" s="334">
        <f>'Staff &amp; Personnel Expenses'!C122*0.25</f>
        <v>1200</v>
      </c>
      <c r="Q21" s="265">
        <f>'Staff &amp; Personnel Expenses'!C122*0.5/10</f>
        <v>240</v>
      </c>
      <c r="R21" s="265">
        <f t="shared" ref="R21:U21" si="12">Q21</f>
        <v>240</v>
      </c>
      <c r="S21" s="265">
        <f t="shared" si="12"/>
        <v>240</v>
      </c>
      <c r="T21" s="265">
        <f t="shared" si="12"/>
        <v>240</v>
      </c>
      <c r="U21" s="265">
        <f t="shared" si="12"/>
        <v>240</v>
      </c>
      <c r="V21" s="265">
        <f>U21+P21</f>
        <v>1440</v>
      </c>
      <c r="W21" s="265">
        <f>U21</f>
        <v>240</v>
      </c>
      <c r="X21" s="265">
        <f t="shared" ref="X21:Z21" si="13">W21</f>
        <v>240</v>
      </c>
      <c r="Y21" s="265">
        <f t="shared" si="13"/>
        <v>240</v>
      </c>
      <c r="Z21" s="265">
        <f t="shared" si="13"/>
        <v>240</v>
      </c>
      <c r="AA21" s="265">
        <v>0.0</v>
      </c>
      <c r="AB21" s="264">
        <f t="shared" si="14"/>
        <v>4800</v>
      </c>
      <c r="AC21" s="329"/>
    </row>
    <row r="22" ht="15.75" customHeight="1">
      <c r="A22" s="10" t="s">
        <v>306</v>
      </c>
      <c r="B22" s="170">
        <f t="shared" ref="B22:N22" si="15">B23+B24</f>
        <v>50</v>
      </c>
      <c r="C22" s="170">
        <f t="shared" si="15"/>
        <v>50</v>
      </c>
      <c r="D22" s="170">
        <f t="shared" si="15"/>
        <v>50</v>
      </c>
      <c r="E22" s="170">
        <f t="shared" si="15"/>
        <v>50</v>
      </c>
      <c r="F22" s="170">
        <f t="shared" si="15"/>
        <v>50</v>
      </c>
      <c r="G22" s="321">
        <f t="shared" si="15"/>
        <v>50</v>
      </c>
      <c r="H22" s="321">
        <f t="shared" si="15"/>
        <v>50</v>
      </c>
      <c r="I22" s="170">
        <f t="shared" si="15"/>
        <v>50</v>
      </c>
      <c r="J22" s="170">
        <f t="shared" si="15"/>
        <v>50</v>
      </c>
      <c r="K22" s="170">
        <f t="shared" si="15"/>
        <v>50</v>
      </c>
      <c r="L22" s="170">
        <f t="shared" si="15"/>
        <v>50</v>
      </c>
      <c r="M22" s="170">
        <f t="shared" si="15"/>
        <v>50</v>
      </c>
      <c r="N22" s="169">
        <f t="shared" si="15"/>
        <v>600</v>
      </c>
      <c r="O22" s="324">
        <f>+N22-'Financial Summary'!B19</f>
        <v>0</v>
      </c>
      <c r="P22" s="170">
        <f t="shared" ref="P22:AB22" si="16">P23+P24</f>
        <v>21871.88272</v>
      </c>
      <c r="Q22" s="170">
        <f t="shared" si="16"/>
        <v>21871.88272</v>
      </c>
      <c r="R22" s="170">
        <f t="shared" si="16"/>
        <v>21871.88272</v>
      </c>
      <c r="S22" s="170">
        <f t="shared" si="16"/>
        <v>21871.88272</v>
      </c>
      <c r="T22" s="170">
        <f t="shared" si="16"/>
        <v>21871.88272</v>
      </c>
      <c r="U22" s="170">
        <f t="shared" si="16"/>
        <v>21871.88272</v>
      </c>
      <c r="V22" s="170">
        <f t="shared" si="16"/>
        <v>21871.88272</v>
      </c>
      <c r="W22" s="170">
        <f t="shared" si="16"/>
        <v>21871.88272</v>
      </c>
      <c r="X22" s="170">
        <f t="shared" si="16"/>
        <v>21871.88272</v>
      </c>
      <c r="Y22" s="170">
        <f t="shared" si="16"/>
        <v>21871.88272</v>
      </c>
      <c r="Z22" s="170">
        <f t="shared" si="16"/>
        <v>21871.88272</v>
      </c>
      <c r="AA22" s="170">
        <f t="shared" si="16"/>
        <v>21871.88272</v>
      </c>
      <c r="AB22" s="169">
        <f t="shared" si="16"/>
        <v>262462.5926</v>
      </c>
      <c r="AC22" s="324">
        <f>+AB22-'Financial Summary'!C19</f>
        <v>0</v>
      </c>
    </row>
    <row r="23" ht="15.75" customHeight="1">
      <c r="A23" s="29" t="s">
        <v>345</v>
      </c>
      <c r="B23" s="265">
        <v>0.0</v>
      </c>
      <c r="C23" s="265">
        <v>0.0</v>
      </c>
      <c r="D23" s="265">
        <v>0.0</v>
      </c>
      <c r="E23" s="265"/>
      <c r="F23" s="265" t="str">
        <f t="shared" ref="F23:J23" si="17">+E23</f>
        <v/>
      </c>
      <c r="G23" s="325" t="str">
        <f t="shared" si="17"/>
        <v/>
      </c>
      <c r="H23" s="265" t="str">
        <f t="shared" si="17"/>
        <v/>
      </c>
      <c r="I23" s="265" t="str">
        <f t="shared" si="17"/>
        <v/>
      </c>
      <c r="J23" s="265" t="str">
        <f t="shared" si="17"/>
        <v/>
      </c>
      <c r="K23" s="265">
        <v>0.0</v>
      </c>
      <c r="L23" s="265">
        <v>0.0</v>
      </c>
      <c r="M23" s="265">
        <v>0.0</v>
      </c>
      <c r="N23" s="264">
        <f t="shared" ref="N23:N31" si="21">SUM(B23:M23)</f>
        <v>0</v>
      </c>
      <c r="O23" s="62"/>
      <c r="P23" s="334">
        <f>'Facilities Expenses'!C26/12</f>
        <v>13750</v>
      </c>
      <c r="Q23" s="265">
        <f t="shared" ref="Q23:AA23" si="18">+P23</f>
        <v>13750</v>
      </c>
      <c r="R23" s="265">
        <f t="shared" si="18"/>
        <v>13750</v>
      </c>
      <c r="S23" s="265">
        <f t="shared" si="18"/>
        <v>13750</v>
      </c>
      <c r="T23" s="265">
        <f t="shared" si="18"/>
        <v>13750</v>
      </c>
      <c r="U23" s="265">
        <f t="shared" si="18"/>
        <v>13750</v>
      </c>
      <c r="V23" s="265">
        <f t="shared" si="18"/>
        <v>13750</v>
      </c>
      <c r="W23" s="265">
        <f t="shared" si="18"/>
        <v>13750</v>
      </c>
      <c r="X23" s="265">
        <f t="shared" si="18"/>
        <v>13750</v>
      </c>
      <c r="Y23" s="265">
        <f t="shared" si="18"/>
        <v>13750</v>
      </c>
      <c r="Z23" s="265">
        <f t="shared" si="18"/>
        <v>13750</v>
      </c>
      <c r="AA23" s="265">
        <f t="shared" si="18"/>
        <v>13750</v>
      </c>
      <c r="AB23" s="264">
        <f t="shared" ref="AB23:AB32" si="22">SUM(P23:AA23)</f>
        <v>165000</v>
      </c>
      <c r="AC23" s="329"/>
    </row>
    <row r="24" ht="15.75" customHeight="1">
      <c r="A24" s="29" t="s">
        <v>346</v>
      </c>
      <c r="B24" s="265">
        <v>50.0</v>
      </c>
      <c r="C24" s="265">
        <f t="shared" ref="C24:G24" si="19">+B24</f>
        <v>50</v>
      </c>
      <c r="D24" s="265">
        <f t="shared" si="19"/>
        <v>50</v>
      </c>
      <c r="E24" s="265">
        <f t="shared" si="19"/>
        <v>50</v>
      </c>
      <c r="F24" s="265">
        <f t="shared" si="19"/>
        <v>50</v>
      </c>
      <c r="G24" s="325">
        <f t="shared" si="19"/>
        <v>50</v>
      </c>
      <c r="H24" s="12">
        <v>50.0</v>
      </c>
      <c r="I24" s="62">
        <v>50.0</v>
      </c>
      <c r="J24" s="265">
        <f t="shared" ref="J24:M24" si="20">+I24</f>
        <v>50</v>
      </c>
      <c r="K24" s="265">
        <f t="shared" si="20"/>
        <v>50</v>
      </c>
      <c r="L24" s="265">
        <f t="shared" si="20"/>
        <v>50</v>
      </c>
      <c r="M24" s="265">
        <f t="shared" si="20"/>
        <v>50</v>
      </c>
      <c r="N24" s="264">
        <f t="shared" si="21"/>
        <v>600</v>
      </c>
      <c r="O24" s="62"/>
      <c r="P24" s="155">
        <f>('Facilities Expenses'!C41-'Facilities Expenses'!C26)/12</f>
        <v>8121.882716</v>
      </c>
      <c r="Q24" s="155">
        <f>('Facilities Expenses'!C41-'Facilities Expenses'!C26)/12</f>
        <v>8121.882716</v>
      </c>
      <c r="R24" s="155">
        <f>('Facilities Expenses'!C41-'Facilities Expenses'!C26)/12</f>
        <v>8121.882716</v>
      </c>
      <c r="S24" s="155">
        <f>('Facilities Expenses'!C41-'Facilities Expenses'!C26)/12</f>
        <v>8121.882716</v>
      </c>
      <c r="T24" s="155">
        <f>('Facilities Expenses'!C41-'Facilities Expenses'!C26)/12</f>
        <v>8121.882716</v>
      </c>
      <c r="U24" s="155">
        <f>('Facilities Expenses'!C41-'Facilities Expenses'!C26)/12</f>
        <v>8121.882716</v>
      </c>
      <c r="V24" s="155">
        <f>('Facilities Expenses'!C41-'Facilities Expenses'!C26)/12</f>
        <v>8121.882716</v>
      </c>
      <c r="W24" s="155">
        <f>('Facilities Expenses'!C41-'Facilities Expenses'!C26)/12</f>
        <v>8121.882716</v>
      </c>
      <c r="X24" s="155">
        <f>('Facilities Expenses'!C41-'Facilities Expenses'!C26)/12</f>
        <v>8121.882716</v>
      </c>
      <c r="Y24" s="155">
        <f>('Facilities Expenses'!C41-'Facilities Expenses'!C26)/12</f>
        <v>8121.882716</v>
      </c>
      <c r="Z24" s="155">
        <f>('Facilities Expenses'!C41-'Facilities Expenses'!C26)/12</f>
        <v>8121.882716</v>
      </c>
      <c r="AA24" s="265">
        <f>('Facilities Expenses'!C41-'Facilities Expenses'!C26)/12</f>
        <v>8121.882716</v>
      </c>
      <c r="AB24" s="264">
        <f t="shared" si="22"/>
        <v>97462.59259</v>
      </c>
      <c r="AC24" s="329"/>
    </row>
    <row r="25" ht="15.75" customHeight="1">
      <c r="A25" s="10" t="s">
        <v>176</v>
      </c>
      <c r="B25" s="170">
        <f t="shared" ref="B25:M25" si="23">+B26+B27+B28+B29</f>
        <v>17883</v>
      </c>
      <c r="C25" s="170">
        <f t="shared" si="23"/>
        <v>41883</v>
      </c>
      <c r="D25" s="170">
        <f t="shared" si="23"/>
        <v>52883</v>
      </c>
      <c r="E25" s="170">
        <f t="shared" si="23"/>
        <v>3000</v>
      </c>
      <c r="F25" s="170">
        <f t="shared" si="23"/>
        <v>3000</v>
      </c>
      <c r="G25" s="321">
        <f t="shared" si="23"/>
        <v>3000</v>
      </c>
      <c r="H25" s="170">
        <f t="shared" si="23"/>
        <v>3000</v>
      </c>
      <c r="I25" s="170">
        <f t="shared" si="23"/>
        <v>3000</v>
      </c>
      <c r="J25" s="170">
        <f t="shared" si="23"/>
        <v>5000</v>
      </c>
      <c r="K25" s="170">
        <f t="shared" si="23"/>
        <v>10000</v>
      </c>
      <c r="L25" s="170">
        <f t="shared" si="23"/>
        <v>5000</v>
      </c>
      <c r="M25" s="170">
        <f t="shared" si="23"/>
        <v>12506</v>
      </c>
      <c r="N25" s="169">
        <f t="shared" si="21"/>
        <v>160155</v>
      </c>
      <c r="O25" s="324">
        <f>+N25-'Financial Summary'!B20</f>
        <v>0</v>
      </c>
      <c r="P25" s="170">
        <f t="shared" ref="P25:AA25" si="24">+P26+P27+P28+P29</f>
        <v>22351.06898</v>
      </c>
      <c r="Q25" s="170">
        <f t="shared" si="24"/>
        <v>22351.06898</v>
      </c>
      <c r="R25" s="170">
        <f t="shared" si="24"/>
        <v>22351.06898</v>
      </c>
      <c r="S25" s="170">
        <f t="shared" si="24"/>
        <v>22351.06898</v>
      </c>
      <c r="T25" s="170">
        <f t="shared" si="24"/>
        <v>24506.06898</v>
      </c>
      <c r="U25" s="170">
        <f t="shared" si="24"/>
        <v>24506.06898</v>
      </c>
      <c r="V25" s="170">
        <f t="shared" si="24"/>
        <v>24506.06898</v>
      </c>
      <c r="W25" s="170">
        <f t="shared" si="24"/>
        <v>24506.06898</v>
      </c>
      <c r="X25" s="170">
        <f t="shared" si="24"/>
        <v>24506.06898</v>
      </c>
      <c r="Y25" s="170">
        <f t="shared" si="24"/>
        <v>24506.06898</v>
      </c>
      <c r="Z25" s="170">
        <f t="shared" si="24"/>
        <v>24506.06898</v>
      </c>
      <c r="AA25" s="170">
        <f t="shared" si="24"/>
        <v>32662.43262</v>
      </c>
      <c r="AB25" s="169">
        <f t="shared" si="22"/>
        <v>293609.1914</v>
      </c>
      <c r="AC25" s="324">
        <f>+AB25-'Financial Summary'!C20</f>
        <v>0</v>
      </c>
    </row>
    <row r="26" ht="15.75" customHeight="1">
      <c r="A26" s="29" t="s">
        <v>347</v>
      </c>
      <c r="B26" s="265">
        <v>9883.0</v>
      </c>
      <c r="C26" s="265">
        <v>9883.0</v>
      </c>
      <c r="D26" s="265">
        <v>9883.0</v>
      </c>
      <c r="E26" s="265">
        <v>0.0</v>
      </c>
      <c r="F26" s="265">
        <v>0.0</v>
      </c>
      <c r="G26" s="325">
        <v>0.0</v>
      </c>
      <c r="H26" s="265">
        <v>0.0</v>
      </c>
      <c r="I26" s="336">
        <v>0.0</v>
      </c>
      <c r="J26" s="336">
        <v>2000.0</v>
      </c>
      <c r="K26" s="336">
        <v>2000.0</v>
      </c>
      <c r="L26" s="336">
        <v>2000.0</v>
      </c>
      <c r="M26" s="336">
        <v>3000.0</v>
      </c>
      <c r="N26" s="264">
        <f t="shared" si="21"/>
        <v>38649</v>
      </c>
      <c r="O26" s="324"/>
      <c r="P26" s="265">
        <v>0.0</v>
      </c>
      <c r="Q26" s="265">
        <v>0.0</v>
      </c>
      <c r="R26" s="265">
        <v>0.0</v>
      </c>
      <c r="S26" s="265">
        <v>0.0</v>
      </c>
      <c r="T26" s="265">
        <f>'Operations Expenses'!$C$55/8</f>
        <v>2155</v>
      </c>
      <c r="U26" s="265">
        <f>'Operations Expenses'!$C$55/8</f>
        <v>2155</v>
      </c>
      <c r="V26" s="265">
        <f>'Operations Expenses'!$C$55/8+'Operations Expenses'!$C$60/4</f>
        <v>2155</v>
      </c>
      <c r="W26" s="265">
        <f>'Operations Expenses'!$C$55/8+'Operations Expenses'!$C$60/4</f>
        <v>2155</v>
      </c>
      <c r="X26" s="265">
        <f>'Operations Expenses'!$C$55/8+'Operations Expenses'!$C$60/4</f>
        <v>2155</v>
      </c>
      <c r="Y26" s="265">
        <f>'Operations Expenses'!$C$55/8+'Operations Expenses'!$C$60/4</f>
        <v>2155</v>
      </c>
      <c r="Z26" s="265">
        <f>'Operations Expenses'!$C$55/8</f>
        <v>2155</v>
      </c>
      <c r="AA26" s="265">
        <f>'Operations Expenses'!$C$55/8</f>
        <v>2155</v>
      </c>
      <c r="AB26" s="264">
        <f t="shared" si="22"/>
        <v>17240</v>
      </c>
      <c r="AC26" s="329"/>
    </row>
    <row r="27" ht="15.75" customHeight="1">
      <c r="A27" s="29" t="s">
        <v>348</v>
      </c>
      <c r="B27" s="265">
        <v>0.0</v>
      </c>
      <c r="C27" s="265">
        <v>0.0</v>
      </c>
      <c r="D27" s="265">
        <v>0.0</v>
      </c>
      <c r="E27" s="265">
        <v>0.0</v>
      </c>
      <c r="F27" s="265">
        <v>0.0</v>
      </c>
      <c r="G27" s="325">
        <v>0.0</v>
      </c>
      <c r="H27" s="265">
        <v>0.0</v>
      </c>
      <c r="I27" s="265">
        <v>0.0</v>
      </c>
      <c r="J27" s="265">
        <v>0.0</v>
      </c>
      <c r="K27" s="336">
        <v>3000.0</v>
      </c>
      <c r="L27" s="265">
        <v>0.0</v>
      </c>
      <c r="M27" s="336">
        <v>2000.0</v>
      </c>
      <c r="N27" s="264">
        <f t="shared" si="21"/>
        <v>5000</v>
      </c>
      <c r="O27" s="324"/>
      <c r="P27" s="334">
        <f>'Operations Expenses'!$C$92/11</f>
        <v>3063.636364</v>
      </c>
      <c r="Q27" s="334">
        <f>'Operations Expenses'!$C$92/11</f>
        <v>3063.636364</v>
      </c>
      <c r="R27" s="334">
        <f>'Operations Expenses'!$C$92/11</f>
        <v>3063.636364</v>
      </c>
      <c r="S27" s="334">
        <f>'Operations Expenses'!$C$92/11</f>
        <v>3063.636364</v>
      </c>
      <c r="T27" s="334">
        <f>'Operations Expenses'!$C$92/11</f>
        <v>3063.636364</v>
      </c>
      <c r="U27" s="334">
        <f>'Operations Expenses'!$C$92/11</f>
        <v>3063.636364</v>
      </c>
      <c r="V27" s="334">
        <f>'Operations Expenses'!$C$92/11</f>
        <v>3063.636364</v>
      </c>
      <c r="W27" s="334">
        <f>'Operations Expenses'!$C$92/11</f>
        <v>3063.636364</v>
      </c>
      <c r="X27" s="334">
        <f>'Operations Expenses'!$C$92/11</f>
        <v>3063.636364</v>
      </c>
      <c r="Y27" s="334">
        <f>'Operations Expenses'!$C$92/11</f>
        <v>3063.636364</v>
      </c>
      <c r="Z27" s="334">
        <f>'Operations Expenses'!$C$92/11</f>
        <v>3063.636364</v>
      </c>
      <c r="AA27" s="337">
        <v>0.0</v>
      </c>
      <c r="AB27" s="264">
        <f t="shared" si="22"/>
        <v>33700</v>
      </c>
      <c r="AC27" s="329"/>
    </row>
    <row r="28" ht="15.75" customHeight="1">
      <c r="A28" s="29" t="s">
        <v>349</v>
      </c>
      <c r="B28" s="265">
        <v>7000.0</v>
      </c>
      <c r="C28" s="265">
        <v>29000.0</v>
      </c>
      <c r="D28" s="265">
        <v>33000.0</v>
      </c>
      <c r="E28" s="336">
        <v>3000.0</v>
      </c>
      <c r="F28" s="336">
        <v>3000.0</v>
      </c>
      <c r="G28" s="336">
        <v>3000.0</v>
      </c>
      <c r="H28" s="336">
        <v>3000.0</v>
      </c>
      <c r="I28" s="336">
        <v>3000.0</v>
      </c>
      <c r="J28" s="336">
        <v>3000.0</v>
      </c>
      <c r="K28" s="336">
        <v>5000.0</v>
      </c>
      <c r="L28" s="336">
        <v>3000.0</v>
      </c>
      <c r="M28" s="336">
        <v>3000.0</v>
      </c>
      <c r="N28" s="264">
        <f t="shared" si="21"/>
        <v>98000</v>
      </c>
      <c r="O28" s="324"/>
      <c r="P28" s="334">
        <f>'Operations Expenses'!$C$137/12</f>
        <v>19287.43262</v>
      </c>
      <c r="Q28" s="265">
        <f>'Operations Expenses'!$C$137/12</f>
        <v>19287.43262</v>
      </c>
      <c r="R28" s="265">
        <f>'Operations Expenses'!$C$137/12</f>
        <v>19287.43262</v>
      </c>
      <c r="S28" s="265">
        <f>'Operations Expenses'!$C$137/12</f>
        <v>19287.43262</v>
      </c>
      <c r="T28" s="265">
        <f>'Operations Expenses'!$C$137/12</f>
        <v>19287.43262</v>
      </c>
      <c r="U28" s="265">
        <f>'Operations Expenses'!$C$137/12</f>
        <v>19287.43262</v>
      </c>
      <c r="V28" s="265">
        <f>'Operations Expenses'!$C$137/12</f>
        <v>19287.43262</v>
      </c>
      <c r="W28" s="265">
        <f>'Operations Expenses'!$C$137/12</f>
        <v>19287.43262</v>
      </c>
      <c r="X28" s="265">
        <f>'Operations Expenses'!$C$137/12</f>
        <v>19287.43262</v>
      </c>
      <c r="Y28" s="265">
        <f>'Operations Expenses'!$C$137/12</f>
        <v>19287.43262</v>
      </c>
      <c r="Z28" s="265">
        <f>'Operations Expenses'!$C$137/12</f>
        <v>19287.43262</v>
      </c>
      <c r="AA28" s="265">
        <f>'Operations Expenses'!$C$137/12</f>
        <v>19287.43262</v>
      </c>
      <c r="AB28" s="264">
        <f t="shared" si="22"/>
        <v>231449.1914</v>
      </c>
      <c r="AC28" s="329"/>
    </row>
    <row r="29" ht="15.75" customHeight="1">
      <c r="A29" s="29" t="s">
        <v>255</v>
      </c>
      <c r="B29" s="62">
        <v>1000.0</v>
      </c>
      <c r="C29" s="62">
        <v>3000.0</v>
      </c>
      <c r="D29" s="62">
        <v>10000.0</v>
      </c>
      <c r="E29" s="265">
        <v>0.0</v>
      </c>
      <c r="F29" s="265">
        <v>0.0</v>
      </c>
      <c r="G29" s="325">
        <v>0.0</v>
      </c>
      <c r="H29" s="265"/>
      <c r="I29" s="265">
        <v>0.0</v>
      </c>
      <c r="J29" s="265">
        <v>0.0</v>
      </c>
      <c r="K29" s="336">
        <v>0.0</v>
      </c>
      <c r="L29" s="336">
        <v>0.0</v>
      </c>
      <c r="M29" s="336">
        <v>4506.0</v>
      </c>
      <c r="N29" s="264">
        <f t="shared" si="21"/>
        <v>18506</v>
      </c>
      <c r="O29" s="324"/>
      <c r="P29" s="334">
        <f>'Operations Expenses'!C154</f>
        <v>0</v>
      </c>
      <c r="Q29" s="265">
        <v>0.0</v>
      </c>
      <c r="R29" s="265">
        <v>0.0</v>
      </c>
      <c r="S29" s="265">
        <v>0.0</v>
      </c>
      <c r="T29" s="265">
        <v>0.0</v>
      </c>
      <c r="U29" s="265">
        <v>0.0</v>
      </c>
      <c r="V29" s="265">
        <v>0.0</v>
      </c>
      <c r="W29" s="265">
        <v>0.0</v>
      </c>
      <c r="X29" s="265">
        <v>0.0</v>
      </c>
      <c r="Y29" s="265">
        <v>0.0</v>
      </c>
      <c r="Z29" s="265">
        <v>0.0</v>
      </c>
      <c r="AA29" s="265">
        <f>'Operations Expenses'!C147</f>
        <v>11220</v>
      </c>
      <c r="AB29" s="264">
        <f t="shared" si="22"/>
        <v>11220</v>
      </c>
      <c r="AC29" s="329"/>
    </row>
    <row r="30" ht="15.75" customHeight="1">
      <c r="A30" s="10" t="s">
        <v>307</v>
      </c>
      <c r="B30" s="62"/>
      <c r="C30" s="62"/>
      <c r="D30" s="62"/>
      <c r="E30" s="62">
        <v>0.0</v>
      </c>
      <c r="F30" s="62">
        <v>0.0</v>
      </c>
      <c r="G30" s="323">
        <v>0.0</v>
      </c>
      <c r="H30" s="62">
        <v>0.0</v>
      </c>
      <c r="I30" s="62">
        <v>0.0</v>
      </c>
      <c r="J30" s="62">
        <v>0.0</v>
      </c>
      <c r="K30" s="62">
        <v>0.0</v>
      </c>
      <c r="L30" s="62">
        <v>0.0</v>
      </c>
      <c r="M30" s="338">
        <v>5650.0</v>
      </c>
      <c r="N30" s="61">
        <f t="shared" si="21"/>
        <v>5650</v>
      </c>
      <c r="O30" s="324">
        <f>+N30-'Financial Summary'!B21</f>
        <v>0</v>
      </c>
      <c r="P30" s="62">
        <f>'Operations Expenses'!$C$196+'Operations Expenses'!$C$199</f>
        <v>24610</v>
      </c>
      <c r="Q30" s="62">
        <f>+'Operations Expenses'!$C$199</f>
        <v>2000</v>
      </c>
      <c r="R30" s="62">
        <f>+'Operations Expenses'!$C$199</f>
        <v>2000</v>
      </c>
      <c r="S30" s="62">
        <f>+'Operations Expenses'!$C$199</f>
        <v>2000</v>
      </c>
      <c r="T30" s="62">
        <f>+'Operations Expenses'!$C$199</f>
        <v>2000</v>
      </c>
      <c r="U30" s="62">
        <f>+'Operations Expenses'!$C$199</f>
        <v>2000</v>
      </c>
      <c r="V30" s="62">
        <f>+'Operations Expenses'!$C$199</f>
        <v>2000</v>
      </c>
      <c r="W30" s="62">
        <f>+'Operations Expenses'!$C$199</f>
        <v>2000</v>
      </c>
      <c r="X30" s="62">
        <f>+'Operations Expenses'!$C$199</f>
        <v>2000</v>
      </c>
      <c r="Y30" s="62">
        <f>+'Operations Expenses'!$C$199</f>
        <v>2000</v>
      </c>
      <c r="Z30" s="62">
        <f>+'Operations Expenses'!$C$199</f>
        <v>2000</v>
      </c>
      <c r="AA30" s="62">
        <f>+'Operations Expenses'!$C$199</f>
        <v>2000</v>
      </c>
      <c r="AB30" s="61">
        <f t="shared" si="22"/>
        <v>46610</v>
      </c>
      <c r="AC30" s="324">
        <f>+AB30-'Financial Summary'!C21</f>
        <v>0</v>
      </c>
    </row>
    <row r="31" ht="15.75" customHeight="1">
      <c r="A31" s="10" t="s">
        <v>308</v>
      </c>
      <c r="B31" s="62">
        <v>0.0</v>
      </c>
      <c r="C31" s="62">
        <v>0.0</v>
      </c>
      <c r="D31" s="62">
        <v>0.0</v>
      </c>
      <c r="E31" s="62">
        <v>0.0</v>
      </c>
      <c r="F31" s="62">
        <v>0.0</v>
      </c>
      <c r="G31" s="323">
        <v>0.0</v>
      </c>
      <c r="H31" s="62">
        <v>0.0</v>
      </c>
      <c r="I31" s="62">
        <v>0.0</v>
      </c>
      <c r="J31" s="62">
        <v>0.0</v>
      </c>
      <c r="K31" s="62">
        <v>0.0</v>
      </c>
      <c r="L31" s="62">
        <v>0.0</v>
      </c>
      <c r="M31" s="62">
        <v>0.0</v>
      </c>
      <c r="N31" s="61">
        <f t="shared" si="21"/>
        <v>0</v>
      </c>
      <c r="O31" s="324">
        <f>+N31-'Financial Summary'!B22</f>
        <v>0</v>
      </c>
      <c r="P31" s="62" t="str">
        <f>'Operations Expenses'!O210</f>
        <v/>
      </c>
      <c r="Q31" s="62">
        <f>'Operations Expenses'!$C$210/10</f>
        <v>26190</v>
      </c>
      <c r="R31" s="62">
        <f>'Operations Expenses'!$C$210/10</f>
        <v>26190</v>
      </c>
      <c r="S31" s="62">
        <f>'Operations Expenses'!$C$210/10</f>
        <v>26190</v>
      </c>
      <c r="T31" s="62">
        <f>'Operations Expenses'!$C$210/10</f>
        <v>26190</v>
      </c>
      <c r="U31" s="62">
        <f>'Operations Expenses'!$C$210/10</f>
        <v>26190</v>
      </c>
      <c r="V31" s="62">
        <f>'Operations Expenses'!$C$210/10</f>
        <v>26190</v>
      </c>
      <c r="W31" s="62">
        <f>'Operations Expenses'!$C$210/10</f>
        <v>26190</v>
      </c>
      <c r="X31" s="62">
        <f>'Operations Expenses'!$C$210/10</f>
        <v>26190</v>
      </c>
      <c r="Y31" s="62">
        <f>'Operations Expenses'!$C$210/10</f>
        <v>26190</v>
      </c>
      <c r="Z31" s="62">
        <f>'Operations Expenses'!$C$210/10</f>
        <v>26190</v>
      </c>
      <c r="AA31" s="62">
        <v>0.0</v>
      </c>
      <c r="AB31" s="61">
        <f t="shared" si="22"/>
        <v>261900</v>
      </c>
      <c r="AC31" s="324">
        <f>+AB31-'Financial Summary'!C22</f>
        <v>0</v>
      </c>
    </row>
    <row r="32" ht="15.75" customHeight="1">
      <c r="A32" s="10" t="s">
        <v>309</v>
      </c>
      <c r="B32" s="62">
        <f t="shared" ref="B32:N32" si="25">B59</f>
        <v>0</v>
      </c>
      <c r="C32" s="62">
        <f t="shared" si="25"/>
        <v>0</v>
      </c>
      <c r="D32" s="62">
        <f t="shared" si="25"/>
        <v>0</v>
      </c>
      <c r="E32" s="62">
        <f t="shared" si="25"/>
        <v>0</v>
      </c>
      <c r="F32" s="62">
        <f t="shared" si="25"/>
        <v>0</v>
      </c>
      <c r="G32" s="323">
        <f t="shared" si="25"/>
        <v>0</v>
      </c>
      <c r="H32" s="62">
        <f t="shared" si="25"/>
        <v>0</v>
      </c>
      <c r="I32" s="62">
        <f t="shared" si="25"/>
        <v>0</v>
      </c>
      <c r="J32" s="62">
        <f t="shared" si="25"/>
        <v>0</v>
      </c>
      <c r="K32" s="62">
        <f t="shared" si="25"/>
        <v>0</v>
      </c>
      <c r="L32" s="62">
        <f t="shared" si="25"/>
        <v>0</v>
      </c>
      <c r="M32" s="62">
        <f t="shared" si="25"/>
        <v>0</v>
      </c>
      <c r="N32" s="61">
        <f t="shared" si="25"/>
        <v>0</v>
      </c>
      <c r="O32" s="339">
        <f>+N32-'Financial Summary'!B23</f>
        <v>0</v>
      </c>
      <c r="P32" s="62">
        <f t="shared" ref="P32:AA32" si="26">P59</f>
        <v>0</v>
      </c>
      <c r="Q32" s="62">
        <f t="shared" si="26"/>
        <v>0</v>
      </c>
      <c r="R32" s="62">
        <f t="shared" si="26"/>
        <v>0</v>
      </c>
      <c r="S32" s="62">
        <f t="shared" si="26"/>
        <v>0</v>
      </c>
      <c r="T32" s="62">
        <f t="shared" si="26"/>
        <v>0</v>
      </c>
      <c r="U32" s="62">
        <f t="shared" si="26"/>
        <v>0</v>
      </c>
      <c r="V32" s="62">
        <f t="shared" si="26"/>
        <v>0</v>
      </c>
      <c r="W32" s="62">
        <f t="shared" si="26"/>
        <v>0</v>
      </c>
      <c r="X32" s="62">
        <f t="shared" si="26"/>
        <v>0</v>
      </c>
      <c r="Y32" s="62">
        <f t="shared" si="26"/>
        <v>0</v>
      </c>
      <c r="Z32" s="62">
        <f t="shared" si="26"/>
        <v>0</v>
      </c>
      <c r="AA32" s="62">
        <f t="shared" si="26"/>
        <v>0</v>
      </c>
      <c r="AB32" s="61">
        <f t="shared" si="22"/>
        <v>0</v>
      </c>
      <c r="AC32" s="324">
        <f>+AB32-'Financial Summary'!C23</f>
        <v>0</v>
      </c>
    </row>
    <row r="33" ht="15.75" customHeight="1">
      <c r="A33" s="36" t="s">
        <v>310</v>
      </c>
      <c r="B33" s="42">
        <f t="shared" ref="B33:AC33" si="27">+B19+B25+B22+B30+B31+B32</f>
        <v>55734.23</v>
      </c>
      <c r="C33" s="42">
        <f t="shared" si="27"/>
        <v>79734.23</v>
      </c>
      <c r="D33" s="42">
        <f t="shared" si="27"/>
        <v>102484.23</v>
      </c>
      <c r="E33" s="42">
        <f t="shared" si="27"/>
        <v>22601.23</v>
      </c>
      <c r="F33" s="42">
        <f t="shared" si="27"/>
        <v>20851.23</v>
      </c>
      <c r="G33" s="332">
        <f t="shared" si="27"/>
        <v>20851.23</v>
      </c>
      <c r="H33" s="42">
        <f t="shared" si="27"/>
        <v>20851.23</v>
      </c>
      <c r="I33" s="42">
        <f t="shared" si="27"/>
        <v>20851.23</v>
      </c>
      <c r="J33" s="42">
        <f t="shared" si="27"/>
        <v>24051.23</v>
      </c>
      <c r="K33" s="42">
        <f t="shared" si="27"/>
        <v>30100.23</v>
      </c>
      <c r="L33" s="42">
        <f t="shared" si="27"/>
        <v>24051.23</v>
      </c>
      <c r="M33" s="42">
        <f t="shared" si="27"/>
        <v>37207.23</v>
      </c>
      <c r="N33" s="41">
        <f t="shared" si="27"/>
        <v>459368.76</v>
      </c>
      <c r="O33" s="333">
        <f t="shared" si="27"/>
        <v>0</v>
      </c>
      <c r="P33" s="42">
        <f t="shared" si="27"/>
        <v>106498.9331</v>
      </c>
      <c r="Q33" s="42">
        <f t="shared" si="27"/>
        <v>188146.6769</v>
      </c>
      <c r="R33" s="42">
        <f t="shared" si="27"/>
        <v>188146.6769</v>
      </c>
      <c r="S33" s="42">
        <f t="shared" si="27"/>
        <v>188146.6769</v>
      </c>
      <c r="T33" s="42">
        <f t="shared" si="27"/>
        <v>190301.6769</v>
      </c>
      <c r="U33" s="42">
        <f t="shared" si="27"/>
        <v>190301.6769</v>
      </c>
      <c r="V33" s="42">
        <f t="shared" si="27"/>
        <v>191501.6769</v>
      </c>
      <c r="W33" s="42">
        <f t="shared" si="27"/>
        <v>190301.6769</v>
      </c>
      <c r="X33" s="42">
        <f t="shared" si="27"/>
        <v>190301.6769</v>
      </c>
      <c r="Y33" s="42">
        <f t="shared" si="27"/>
        <v>190301.6769</v>
      </c>
      <c r="Z33" s="42">
        <f t="shared" si="27"/>
        <v>190301.6769</v>
      </c>
      <c r="AA33" s="42">
        <f t="shared" si="27"/>
        <v>172028.0405</v>
      </c>
      <c r="AB33" s="41">
        <f t="shared" si="27"/>
        <v>2176278.742</v>
      </c>
      <c r="AC33" s="333">
        <f t="shared" si="27"/>
        <v>-79027.74371</v>
      </c>
    </row>
    <row r="34" ht="15.75" customHeight="1">
      <c r="A34" s="10"/>
      <c r="B34" s="10"/>
      <c r="C34" s="10"/>
      <c r="D34" s="10"/>
      <c r="E34" s="10"/>
      <c r="F34" s="10"/>
      <c r="G34" s="318"/>
      <c r="H34" s="10"/>
      <c r="I34" s="10"/>
      <c r="J34" s="10"/>
      <c r="K34" s="10"/>
      <c r="L34" s="10"/>
      <c r="M34" s="10"/>
      <c r="N34" s="44"/>
      <c r="O34" s="10"/>
      <c r="P34" s="319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44"/>
      <c r="AC34" s="320"/>
    </row>
    <row r="35" ht="15.75" customHeight="1">
      <c r="A35" s="271" t="s">
        <v>311</v>
      </c>
      <c r="B35" s="273">
        <f t="shared" ref="B35:AC35" si="28">B16-B33</f>
        <v>205996.21</v>
      </c>
      <c r="C35" s="273">
        <f t="shared" si="28"/>
        <v>-41634.23</v>
      </c>
      <c r="D35" s="273">
        <f t="shared" si="28"/>
        <v>-52484.23</v>
      </c>
      <c r="E35" s="273">
        <f t="shared" si="28"/>
        <v>-17601.23</v>
      </c>
      <c r="F35" s="273">
        <f t="shared" si="28"/>
        <v>-20851.23</v>
      </c>
      <c r="G35" s="340">
        <f t="shared" si="28"/>
        <v>-9351.23</v>
      </c>
      <c r="H35" s="273">
        <f t="shared" si="28"/>
        <v>54148.77</v>
      </c>
      <c r="I35" s="273">
        <f t="shared" si="28"/>
        <v>-20851.23</v>
      </c>
      <c r="J35" s="273">
        <f t="shared" si="28"/>
        <v>-24051.23</v>
      </c>
      <c r="K35" s="273">
        <f t="shared" si="28"/>
        <v>19899.77</v>
      </c>
      <c r="L35" s="273">
        <f t="shared" si="28"/>
        <v>-24051.23</v>
      </c>
      <c r="M35" s="273">
        <f t="shared" si="28"/>
        <v>172792.77</v>
      </c>
      <c r="N35" s="272">
        <f t="shared" si="28"/>
        <v>241961.68</v>
      </c>
      <c r="O35" s="273">
        <f t="shared" si="28"/>
        <v>0</v>
      </c>
      <c r="P35" s="341">
        <f t="shared" si="28"/>
        <v>251251.0669</v>
      </c>
      <c r="Q35" s="273">
        <f t="shared" si="28"/>
        <v>-73396.67685</v>
      </c>
      <c r="R35" s="273">
        <f t="shared" si="28"/>
        <v>14657.80477</v>
      </c>
      <c r="S35" s="273">
        <f t="shared" si="28"/>
        <v>44657.80477</v>
      </c>
      <c r="T35" s="273">
        <f t="shared" si="28"/>
        <v>12502.80477</v>
      </c>
      <c r="U35" s="273">
        <f t="shared" si="28"/>
        <v>137502.8048</v>
      </c>
      <c r="V35" s="273">
        <f t="shared" si="28"/>
        <v>11302.80477</v>
      </c>
      <c r="W35" s="273">
        <f t="shared" si="28"/>
        <v>12502.80477</v>
      </c>
      <c r="X35" s="273">
        <f t="shared" si="28"/>
        <v>12502.80477</v>
      </c>
      <c r="Y35" s="273">
        <f t="shared" si="28"/>
        <v>12502.80477</v>
      </c>
      <c r="Z35" s="273">
        <f t="shared" si="28"/>
        <v>12502.80477</v>
      </c>
      <c r="AA35" s="273">
        <f t="shared" si="28"/>
        <v>30776.44113</v>
      </c>
      <c r="AB35" s="272">
        <f t="shared" si="28"/>
        <v>479266.074</v>
      </c>
      <c r="AC35" s="342">
        <f t="shared" si="28"/>
        <v>79027.74371</v>
      </c>
    </row>
    <row r="36" ht="15.75" customHeight="1">
      <c r="A36" s="10"/>
      <c r="B36" s="10"/>
      <c r="C36" s="10"/>
      <c r="D36" s="10"/>
      <c r="E36" s="10"/>
      <c r="F36" s="10"/>
      <c r="G36" s="318"/>
      <c r="H36" s="10"/>
      <c r="I36" s="10"/>
      <c r="J36" s="10"/>
      <c r="K36" s="10"/>
      <c r="L36" s="10"/>
      <c r="M36" s="10"/>
      <c r="N36" s="44"/>
      <c r="O36" s="10"/>
      <c r="P36" s="319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4"/>
      <c r="AC36" s="320"/>
    </row>
    <row r="37" ht="15.75" customHeight="1">
      <c r="A37" s="9" t="s">
        <v>313</v>
      </c>
      <c r="B37" s="343">
        <v>100.0</v>
      </c>
      <c r="C37" s="28">
        <f t="shared" ref="C37:M37" si="29">B45</f>
        <v>206096.21</v>
      </c>
      <c r="D37" s="28">
        <f t="shared" si="29"/>
        <v>164461.98</v>
      </c>
      <c r="E37" s="28">
        <f t="shared" si="29"/>
        <v>111977.75</v>
      </c>
      <c r="F37" s="28">
        <f t="shared" si="29"/>
        <v>94376.52</v>
      </c>
      <c r="G37" s="344">
        <f t="shared" si="29"/>
        <v>73525.29</v>
      </c>
      <c r="H37" s="28">
        <f t="shared" si="29"/>
        <v>64094.06</v>
      </c>
      <c r="I37" s="28">
        <f t="shared" si="29"/>
        <v>118242.83</v>
      </c>
      <c r="J37" s="28">
        <f t="shared" si="29"/>
        <v>87391.6</v>
      </c>
      <c r="K37" s="28">
        <f t="shared" si="29"/>
        <v>63340.37</v>
      </c>
      <c r="L37" s="28">
        <f t="shared" si="29"/>
        <v>83240.14</v>
      </c>
      <c r="M37" s="28">
        <f t="shared" si="29"/>
        <v>39188.91</v>
      </c>
      <c r="N37" s="345">
        <f>B37</f>
        <v>100</v>
      </c>
      <c r="O37" s="346">
        <f>N37-'Financial Summary'!B30</f>
        <v>0</v>
      </c>
      <c r="P37" s="28">
        <f>+N45</f>
        <v>32061.68</v>
      </c>
      <c r="Q37" s="28">
        <f t="shared" ref="Q37:AA37" si="30">P45</f>
        <v>59312.74686</v>
      </c>
      <c r="R37" s="28">
        <f t="shared" si="30"/>
        <v>-115083.93</v>
      </c>
      <c r="S37" s="28">
        <f t="shared" si="30"/>
        <v>-100426.1252</v>
      </c>
      <c r="T37" s="28">
        <f t="shared" si="30"/>
        <v>-55768.32046</v>
      </c>
      <c r="U37" s="28">
        <f t="shared" si="30"/>
        <v>-43265.51569</v>
      </c>
      <c r="V37" s="28">
        <f t="shared" si="30"/>
        <v>94237.28907</v>
      </c>
      <c r="W37" s="28">
        <f t="shared" si="30"/>
        <v>105540.0938</v>
      </c>
      <c r="X37" s="28">
        <f t="shared" si="30"/>
        <v>118042.8986</v>
      </c>
      <c r="Y37" s="28">
        <f t="shared" si="30"/>
        <v>130545.7034</v>
      </c>
      <c r="Z37" s="28">
        <f t="shared" si="30"/>
        <v>143048.5081</v>
      </c>
      <c r="AA37" s="28">
        <f t="shared" si="30"/>
        <v>155551.3129</v>
      </c>
      <c r="AB37" s="27">
        <f>P37</f>
        <v>32061.68</v>
      </c>
      <c r="AC37" s="346">
        <f>AB37-'Financial Summary'!C30</f>
        <v>0.0000000001746229827</v>
      </c>
    </row>
    <row r="38" ht="15.75" customHeight="1">
      <c r="A38" s="10"/>
      <c r="B38" s="170"/>
      <c r="C38" s="170"/>
      <c r="D38" s="170"/>
      <c r="E38" s="170"/>
      <c r="F38" s="170"/>
      <c r="G38" s="321"/>
      <c r="H38" s="170"/>
      <c r="I38" s="170"/>
      <c r="J38" s="170"/>
      <c r="K38" s="170"/>
      <c r="L38" s="170"/>
      <c r="M38" s="170"/>
      <c r="N38" s="169"/>
      <c r="O38" s="322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69"/>
      <c r="AC38" s="322"/>
    </row>
    <row r="39" ht="15.75" customHeight="1">
      <c r="A39" s="145" t="s">
        <v>314</v>
      </c>
      <c r="B39" s="170">
        <f t="shared" ref="B39:M39" si="31">+B35</f>
        <v>205996.21</v>
      </c>
      <c r="C39" s="170">
        <f t="shared" si="31"/>
        <v>-41634.23</v>
      </c>
      <c r="D39" s="170">
        <f t="shared" si="31"/>
        <v>-52484.23</v>
      </c>
      <c r="E39" s="170">
        <f t="shared" si="31"/>
        <v>-17601.23</v>
      </c>
      <c r="F39" s="170">
        <f t="shared" si="31"/>
        <v>-20851.23</v>
      </c>
      <c r="G39" s="321">
        <f t="shared" si="31"/>
        <v>-9351.23</v>
      </c>
      <c r="H39" s="170">
        <f t="shared" si="31"/>
        <v>54148.77</v>
      </c>
      <c r="I39" s="170">
        <f t="shared" si="31"/>
        <v>-20851.23</v>
      </c>
      <c r="J39" s="170">
        <f t="shared" si="31"/>
        <v>-24051.23</v>
      </c>
      <c r="K39" s="170">
        <f t="shared" si="31"/>
        <v>19899.77</v>
      </c>
      <c r="L39" s="170">
        <f t="shared" si="31"/>
        <v>-24051.23</v>
      </c>
      <c r="M39" s="170">
        <f t="shared" si="31"/>
        <v>172792.77</v>
      </c>
      <c r="N39" s="169">
        <f t="shared" ref="N39:N42" si="33">SUM(B39:M39)</f>
        <v>241961.68</v>
      </c>
      <c r="O39" s="322">
        <f>N39-'Financial Summary'!B32</f>
        <v>0.0000000001746229827</v>
      </c>
      <c r="P39" s="170">
        <f t="shared" ref="P39:AA39" si="32">+P35</f>
        <v>251251.0669</v>
      </c>
      <c r="Q39" s="170">
        <f t="shared" si="32"/>
        <v>-73396.67685</v>
      </c>
      <c r="R39" s="170">
        <f t="shared" si="32"/>
        <v>14657.80477</v>
      </c>
      <c r="S39" s="170">
        <f t="shared" si="32"/>
        <v>44657.80477</v>
      </c>
      <c r="T39" s="170">
        <f t="shared" si="32"/>
        <v>12502.80477</v>
      </c>
      <c r="U39" s="170">
        <f t="shared" si="32"/>
        <v>137502.8048</v>
      </c>
      <c r="V39" s="170">
        <f t="shared" si="32"/>
        <v>11302.80477</v>
      </c>
      <c r="W39" s="170">
        <f t="shared" si="32"/>
        <v>12502.80477</v>
      </c>
      <c r="X39" s="170">
        <f t="shared" si="32"/>
        <v>12502.80477</v>
      </c>
      <c r="Y39" s="170">
        <f t="shared" si="32"/>
        <v>12502.80477</v>
      </c>
      <c r="Z39" s="170">
        <f t="shared" si="32"/>
        <v>12502.80477</v>
      </c>
      <c r="AA39" s="170">
        <f t="shared" si="32"/>
        <v>30776.44113</v>
      </c>
      <c r="AB39" s="169">
        <f t="shared" ref="AB39:AB42" si="34">SUM(P39:AA39)</f>
        <v>479266.074</v>
      </c>
      <c r="AC39" s="322">
        <f>ROUND(AB39-'Financial Summary'!C32,0)</f>
        <v>79028</v>
      </c>
    </row>
    <row r="40" ht="15.75" customHeight="1">
      <c r="A40" s="145" t="s">
        <v>315</v>
      </c>
      <c r="B40" s="217">
        <v>0.0</v>
      </c>
      <c r="C40" s="217">
        <v>0.0</v>
      </c>
      <c r="D40" s="217">
        <v>0.0</v>
      </c>
      <c r="E40" s="217">
        <v>0.0</v>
      </c>
      <c r="F40" s="217">
        <v>0.0</v>
      </c>
      <c r="G40" s="347">
        <v>0.0</v>
      </c>
      <c r="H40" s="348"/>
      <c r="I40" s="348">
        <v>-10000.0</v>
      </c>
      <c r="J40" s="348">
        <v>0.0</v>
      </c>
      <c r="K40" s="217"/>
      <c r="L40" s="348">
        <v>-20000.0</v>
      </c>
      <c r="M40" s="348">
        <v>-180000.0</v>
      </c>
      <c r="N40" s="61">
        <f t="shared" si="33"/>
        <v>-210000</v>
      </c>
      <c r="O40" s="324">
        <f>N40-'Financial Summary'!B33</f>
        <v>0</v>
      </c>
      <c r="P40" s="348">
        <v>-224000.0</v>
      </c>
      <c r="Q40" s="348">
        <v>-101000.0</v>
      </c>
      <c r="R40" s="217">
        <v>0.0</v>
      </c>
      <c r="S40" s="217">
        <v>0.0</v>
      </c>
      <c r="T40" s="217">
        <v>0.0</v>
      </c>
      <c r="U40" s="217">
        <v>0.0</v>
      </c>
      <c r="V40" s="217">
        <v>0.0</v>
      </c>
      <c r="W40" s="217">
        <v>0.0</v>
      </c>
      <c r="X40" s="217">
        <v>0.0</v>
      </c>
      <c r="Y40" s="217">
        <v>0.0</v>
      </c>
      <c r="Z40" s="217">
        <v>0.0</v>
      </c>
      <c r="AA40" s="217">
        <v>0.0</v>
      </c>
      <c r="AB40" s="61">
        <f t="shared" si="34"/>
        <v>-325000</v>
      </c>
      <c r="AC40" s="324">
        <f>AB40-'Financial Summary'!C33</f>
        <v>0</v>
      </c>
    </row>
    <row r="41" ht="15.75" customHeight="1">
      <c r="A41" s="145" t="s">
        <v>316</v>
      </c>
      <c r="B41" s="217">
        <v>0.0</v>
      </c>
      <c r="C41" s="217">
        <v>0.0</v>
      </c>
      <c r="D41" s="217">
        <v>0.0</v>
      </c>
      <c r="E41" s="217">
        <v>0.0</v>
      </c>
      <c r="F41" s="217">
        <v>0.0</v>
      </c>
      <c r="G41" s="347">
        <v>0.0</v>
      </c>
      <c r="H41" s="217">
        <v>0.0</v>
      </c>
      <c r="I41" s="348"/>
      <c r="J41" s="217">
        <v>0.0</v>
      </c>
      <c r="K41" s="217">
        <v>0.0</v>
      </c>
      <c r="L41" s="348"/>
      <c r="M41" s="348"/>
      <c r="N41" s="61">
        <f t="shared" si="33"/>
        <v>0</v>
      </c>
      <c r="O41" s="324">
        <f>N41-'Financial Summary'!B34</f>
        <v>0</v>
      </c>
      <c r="P41" s="348"/>
      <c r="Q41" s="348"/>
      <c r="R41" s="217">
        <v>0.0</v>
      </c>
      <c r="S41" s="217">
        <v>0.0</v>
      </c>
      <c r="T41" s="217">
        <v>0.0</v>
      </c>
      <c r="U41" s="217">
        <v>0.0</v>
      </c>
      <c r="V41" s="217">
        <v>0.0</v>
      </c>
      <c r="W41" s="217">
        <v>0.0</v>
      </c>
      <c r="X41" s="217">
        <v>0.0</v>
      </c>
      <c r="Y41" s="217">
        <v>0.0</v>
      </c>
      <c r="Z41" s="217">
        <v>0.0</v>
      </c>
      <c r="AA41" s="217">
        <v>0.0</v>
      </c>
      <c r="AB41" s="61">
        <f t="shared" si="34"/>
        <v>0</v>
      </c>
      <c r="AC41" s="324">
        <f>AB41-'Financial Summary'!C34</f>
        <v>0</v>
      </c>
    </row>
    <row r="42" ht="15.75" customHeight="1">
      <c r="A42" s="145" t="s">
        <v>317</v>
      </c>
      <c r="B42" s="217">
        <v>0.0</v>
      </c>
      <c r="C42" s="217">
        <v>0.0</v>
      </c>
      <c r="D42" s="217">
        <v>0.0</v>
      </c>
      <c r="E42" s="217">
        <v>0.0</v>
      </c>
      <c r="F42" s="217">
        <v>0.0</v>
      </c>
      <c r="G42" s="347">
        <v>0.0</v>
      </c>
      <c r="H42" s="217">
        <v>0.0</v>
      </c>
      <c r="I42" s="217">
        <v>0.0</v>
      </c>
      <c r="J42" s="217"/>
      <c r="K42" s="217">
        <v>0.0</v>
      </c>
      <c r="L42" s="217">
        <v>0.0</v>
      </c>
      <c r="M42" s="217">
        <v>0.0</v>
      </c>
      <c r="N42" s="61">
        <f t="shared" si="33"/>
        <v>0</v>
      </c>
      <c r="O42" s="339">
        <f>N42-'Financial Summary'!B35</f>
        <v>0</v>
      </c>
      <c r="P42" s="217">
        <v>0.0</v>
      </c>
      <c r="Q42" s="217">
        <v>0.0</v>
      </c>
      <c r="R42" s="217">
        <v>0.0</v>
      </c>
      <c r="S42" s="217">
        <v>0.0</v>
      </c>
      <c r="T42" s="217">
        <v>0.0</v>
      </c>
      <c r="U42" s="217">
        <v>0.0</v>
      </c>
      <c r="V42" s="217">
        <v>0.0</v>
      </c>
      <c r="W42" s="217">
        <v>0.0</v>
      </c>
      <c r="X42" s="217">
        <v>0.0</v>
      </c>
      <c r="Y42" s="217">
        <v>0.0</v>
      </c>
      <c r="Z42" s="217">
        <v>0.0</v>
      </c>
      <c r="AA42" s="217">
        <v>0.0</v>
      </c>
      <c r="AB42" s="61">
        <f t="shared" si="34"/>
        <v>0</v>
      </c>
      <c r="AC42" s="339">
        <f>AB42-'Financial Summary'!C35</f>
        <v>0</v>
      </c>
    </row>
    <row r="43" ht="15.75" customHeight="1">
      <c r="A43" s="274" t="s">
        <v>318</v>
      </c>
      <c r="B43" s="276">
        <f t="shared" ref="B43:AB43" si="35">SUM(B39:B42)</f>
        <v>205996.21</v>
      </c>
      <c r="C43" s="276">
        <f t="shared" si="35"/>
        <v>-41634.23</v>
      </c>
      <c r="D43" s="276">
        <f t="shared" si="35"/>
        <v>-52484.23</v>
      </c>
      <c r="E43" s="276">
        <f t="shared" si="35"/>
        <v>-17601.23</v>
      </c>
      <c r="F43" s="276">
        <f t="shared" si="35"/>
        <v>-20851.23</v>
      </c>
      <c r="G43" s="349">
        <f t="shared" si="35"/>
        <v>-9351.23</v>
      </c>
      <c r="H43" s="276">
        <f t="shared" si="35"/>
        <v>54148.77</v>
      </c>
      <c r="I43" s="276">
        <f t="shared" si="35"/>
        <v>-30851.23</v>
      </c>
      <c r="J43" s="276">
        <f t="shared" si="35"/>
        <v>-24051.23</v>
      </c>
      <c r="K43" s="276">
        <f t="shared" si="35"/>
        <v>19899.77</v>
      </c>
      <c r="L43" s="276">
        <f t="shared" si="35"/>
        <v>-44051.23</v>
      </c>
      <c r="M43" s="276">
        <f t="shared" si="35"/>
        <v>-7207.23</v>
      </c>
      <c r="N43" s="275">
        <f t="shared" si="35"/>
        <v>31961.68</v>
      </c>
      <c r="O43" s="350">
        <f t="shared" si="35"/>
        <v>0.0000000001746229827</v>
      </c>
      <c r="P43" s="276">
        <f t="shared" si="35"/>
        <v>27251.06686</v>
      </c>
      <c r="Q43" s="276">
        <f t="shared" si="35"/>
        <v>-174396.6769</v>
      </c>
      <c r="R43" s="276">
        <f t="shared" si="35"/>
        <v>14657.80477</v>
      </c>
      <c r="S43" s="276">
        <f t="shared" si="35"/>
        <v>44657.80477</v>
      </c>
      <c r="T43" s="276">
        <f t="shared" si="35"/>
        <v>12502.80477</v>
      </c>
      <c r="U43" s="276">
        <f t="shared" si="35"/>
        <v>137502.8048</v>
      </c>
      <c r="V43" s="276">
        <f t="shared" si="35"/>
        <v>11302.80477</v>
      </c>
      <c r="W43" s="276">
        <f t="shared" si="35"/>
        <v>12502.80477</v>
      </c>
      <c r="X43" s="276">
        <f t="shared" si="35"/>
        <v>12502.80477</v>
      </c>
      <c r="Y43" s="276">
        <f t="shared" si="35"/>
        <v>12502.80477</v>
      </c>
      <c r="Z43" s="276">
        <f t="shared" si="35"/>
        <v>12502.80477</v>
      </c>
      <c r="AA43" s="276">
        <f t="shared" si="35"/>
        <v>30776.44113</v>
      </c>
      <c r="AB43" s="275">
        <f t="shared" si="35"/>
        <v>154266.074</v>
      </c>
      <c r="AC43" s="350">
        <f>ROUND(AB43-'Financial Summary'!C36,0)</f>
        <v>79028</v>
      </c>
    </row>
    <row r="44" ht="15.75" customHeight="1">
      <c r="A44" s="10"/>
      <c r="B44" s="62"/>
      <c r="C44" s="62"/>
      <c r="D44" s="62"/>
      <c r="E44" s="62"/>
      <c r="F44" s="62"/>
      <c r="G44" s="323"/>
      <c r="H44" s="62"/>
      <c r="I44" s="62"/>
      <c r="J44" s="62"/>
      <c r="K44" s="62"/>
      <c r="L44" s="62"/>
      <c r="M44" s="62"/>
      <c r="N44" s="61"/>
      <c r="O44" s="324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1"/>
      <c r="AC44" s="324"/>
    </row>
    <row r="45" ht="15.75" customHeight="1">
      <c r="A45" s="66" t="s">
        <v>319</v>
      </c>
      <c r="B45" s="351">
        <f t="shared" ref="B45:F45" si="36">B37+B43</f>
        <v>206096.21</v>
      </c>
      <c r="C45" s="351">
        <f t="shared" si="36"/>
        <v>164461.98</v>
      </c>
      <c r="D45" s="351">
        <f t="shared" si="36"/>
        <v>111977.75</v>
      </c>
      <c r="E45" s="351">
        <f t="shared" si="36"/>
        <v>94376.52</v>
      </c>
      <c r="F45" s="351">
        <f t="shared" si="36"/>
        <v>73525.29</v>
      </c>
      <c r="G45" s="352">
        <f>G37+G43-80</f>
        <v>64094.06</v>
      </c>
      <c r="H45" s="351">
        <f t="shared" ref="H45:N45" si="37">H37+H43</f>
        <v>118242.83</v>
      </c>
      <c r="I45" s="351">
        <f t="shared" si="37"/>
        <v>87391.6</v>
      </c>
      <c r="J45" s="351">
        <f t="shared" si="37"/>
        <v>63340.37</v>
      </c>
      <c r="K45" s="351">
        <f t="shared" si="37"/>
        <v>83240.14</v>
      </c>
      <c r="L45" s="351">
        <f t="shared" si="37"/>
        <v>39188.91</v>
      </c>
      <c r="M45" s="351">
        <f t="shared" si="37"/>
        <v>31981.68</v>
      </c>
      <c r="N45" s="229">
        <f t="shared" si="37"/>
        <v>32061.68</v>
      </c>
      <c r="O45" s="353">
        <f>N45-'Financial Summary'!B38</f>
        <v>0.0000000001746229827</v>
      </c>
      <c r="P45" s="351">
        <f t="shared" ref="P45:AB45" si="38">P37+P43</f>
        <v>59312.74686</v>
      </c>
      <c r="Q45" s="351">
        <f t="shared" si="38"/>
        <v>-115083.93</v>
      </c>
      <c r="R45" s="351">
        <f t="shared" si="38"/>
        <v>-100426.1252</v>
      </c>
      <c r="S45" s="351">
        <f t="shared" si="38"/>
        <v>-55768.32046</v>
      </c>
      <c r="T45" s="351">
        <f t="shared" si="38"/>
        <v>-43265.51569</v>
      </c>
      <c r="U45" s="351">
        <f t="shared" si="38"/>
        <v>94237.28907</v>
      </c>
      <c r="V45" s="351">
        <f t="shared" si="38"/>
        <v>105540.0938</v>
      </c>
      <c r="W45" s="351">
        <f t="shared" si="38"/>
        <v>118042.8986</v>
      </c>
      <c r="X45" s="351">
        <f t="shared" si="38"/>
        <v>130545.7034</v>
      </c>
      <c r="Y45" s="351">
        <f t="shared" si="38"/>
        <v>143048.5081</v>
      </c>
      <c r="Z45" s="351">
        <f t="shared" si="38"/>
        <v>155551.3129</v>
      </c>
      <c r="AA45" s="351">
        <f t="shared" si="38"/>
        <v>186327.754</v>
      </c>
      <c r="AB45" s="229">
        <f t="shared" si="38"/>
        <v>186327.754</v>
      </c>
      <c r="AC45" s="333">
        <f>ROUND(AB45-'Financial Summary'!C38,0)</f>
        <v>79028</v>
      </c>
    </row>
    <row r="46" ht="15.75" customHeight="1">
      <c r="A46" s="10"/>
      <c r="B46" s="10"/>
      <c r="C46" s="10"/>
      <c r="D46" s="10"/>
      <c r="E46" s="10"/>
      <c r="F46" s="10"/>
      <c r="G46" s="323"/>
      <c r="H46" s="62"/>
      <c r="I46" s="10"/>
      <c r="J46" s="10"/>
      <c r="K46" s="10"/>
      <c r="L46" s="10"/>
      <c r="M46" s="62"/>
      <c r="N46" s="61"/>
      <c r="O46" s="350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275"/>
      <c r="AC46" s="350"/>
    </row>
    <row r="47" ht="15.75" customHeight="1">
      <c r="A47" s="48" t="s">
        <v>350</v>
      </c>
      <c r="B47" s="10"/>
      <c r="C47" s="10"/>
      <c r="D47" s="10"/>
      <c r="E47" s="10"/>
      <c r="F47" s="10"/>
      <c r="G47" s="323"/>
      <c r="H47" s="62"/>
      <c r="I47" s="10"/>
      <c r="J47" s="10"/>
      <c r="K47" s="10"/>
      <c r="L47" s="10"/>
      <c r="M47" s="62"/>
      <c r="N47" s="61"/>
      <c r="O47" s="324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1"/>
      <c r="AC47" s="324"/>
    </row>
    <row r="48" ht="15.75" customHeight="1">
      <c r="A48" s="10" t="s">
        <v>351</v>
      </c>
      <c r="B48" s="170"/>
      <c r="C48" s="170"/>
      <c r="D48" s="170"/>
      <c r="E48" s="170"/>
      <c r="F48" s="170"/>
      <c r="G48" s="321"/>
      <c r="H48" s="354"/>
      <c r="I48" s="170"/>
      <c r="J48" s="244">
        <v>0.0</v>
      </c>
      <c r="K48" s="170">
        <f t="shared" ref="K48:M48" si="39">J50</f>
        <v>0</v>
      </c>
      <c r="L48" s="170">
        <f t="shared" si="39"/>
        <v>0</v>
      </c>
      <c r="M48" s="170">
        <f t="shared" si="39"/>
        <v>0</v>
      </c>
      <c r="N48" s="169">
        <v>0.0</v>
      </c>
      <c r="O48" s="322"/>
      <c r="P48" s="170">
        <f>N50</f>
        <v>0</v>
      </c>
      <c r="Q48" s="170">
        <f t="shared" ref="Q48:AA48" si="40">P50</f>
        <v>0</v>
      </c>
      <c r="R48" s="170">
        <f t="shared" si="40"/>
        <v>0</v>
      </c>
      <c r="S48" s="170">
        <f t="shared" si="40"/>
        <v>0</v>
      </c>
      <c r="T48" s="170">
        <f t="shared" si="40"/>
        <v>0</v>
      </c>
      <c r="U48" s="170">
        <f t="shared" si="40"/>
        <v>0</v>
      </c>
      <c r="V48" s="170">
        <f t="shared" si="40"/>
        <v>0</v>
      </c>
      <c r="W48" s="170">
        <f t="shared" si="40"/>
        <v>0</v>
      </c>
      <c r="X48" s="170">
        <f t="shared" si="40"/>
        <v>0</v>
      </c>
      <c r="Y48" s="170">
        <f t="shared" si="40"/>
        <v>0</v>
      </c>
      <c r="Z48" s="170">
        <f t="shared" si="40"/>
        <v>0</v>
      </c>
      <c r="AA48" s="170">
        <f t="shared" si="40"/>
        <v>0</v>
      </c>
      <c r="AB48" s="169">
        <f>P48</f>
        <v>0</v>
      </c>
      <c r="AC48" s="322"/>
    </row>
    <row r="49" ht="15.75" customHeight="1">
      <c r="A49" s="145" t="s">
        <v>317</v>
      </c>
      <c r="B49" s="62"/>
      <c r="C49" s="62"/>
      <c r="D49" s="62"/>
      <c r="E49" s="62"/>
      <c r="F49" s="62"/>
      <c r="G49" s="323"/>
      <c r="H49" s="355"/>
      <c r="I49" s="62"/>
      <c r="J49" s="62" t="str">
        <f t="shared" ref="J49:M49" si="41">J42</f>
        <v/>
      </c>
      <c r="K49" s="62">
        <f t="shared" si="41"/>
        <v>0</v>
      </c>
      <c r="L49" s="62">
        <f t="shared" si="41"/>
        <v>0</v>
      </c>
      <c r="M49" s="62">
        <f t="shared" si="41"/>
        <v>0</v>
      </c>
      <c r="N49" s="61">
        <f>SUM(B49:M49)</f>
        <v>0</v>
      </c>
      <c r="O49" s="324"/>
      <c r="P49" s="62">
        <f t="shared" ref="P49:AA49" si="42">P42</f>
        <v>0</v>
      </c>
      <c r="Q49" s="62">
        <f t="shared" si="42"/>
        <v>0</v>
      </c>
      <c r="R49" s="62">
        <f t="shared" si="42"/>
        <v>0</v>
      </c>
      <c r="S49" s="62">
        <f t="shared" si="42"/>
        <v>0</v>
      </c>
      <c r="T49" s="62">
        <f t="shared" si="42"/>
        <v>0</v>
      </c>
      <c r="U49" s="62">
        <f t="shared" si="42"/>
        <v>0</v>
      </c>
      <c r="V49" s="62">
        <f t="shared" si="42"/>
        <v>0</v>
      </c>
      <c r="W49" s="62">
        <f t="shared" si="42"/>
        <v>0</v>
      </c>
      <c r="X49" s="62">
        <f t="shared" si="42"/>
        <v>0</v>
      </c>
      <c r="Y49" s="62">
        <f t="shared" si="42"/>
        <v>0</v>
      </c>
      <c r="Z49" s="62">
        <f t="shared" si="42"/>
        <v>0</v>
      </c>
      <c r="AA49" s="62">
        <f t="shared" si="42"/>
        <v>0</v>
      </c>
      <c r="AB49" s="61">
        <f>SUM(P49:AA49)</f>
        <v>0</v>
      </c>
      <c r="AC49" s="324"/>
    </row>
    <row r="50" ht="15.75" customHeight="1">
      <c r="A50" s="356" t="s">
        <v>352</v>
      </c>
      <c r="B50" s="357"/>
      <c r="C50" s="357"/>
      <c r="D50" s="357"/>
      <c r="E50" s="357"/>
      <c r="F50" s="357"/>
      <c r="G50" s="358"/>
      <c r="H50" s="359"/>
      <c r="I50" s="357"/>
      <c r="J50" s="357">
        <f t="shared" ref="J50:N50" si="43">J48+J49</f>
        <v>0</v>
      </c>
      <c r="K50" s="357">
        <f t="shared" si="43"/>
        <v>0</v>
      </c>
      <c r="L50" s="357">
        <f t="shared" si="43"/>
        <v>0</v>
      </c>
      <c r="M50" s="357">
        <f t="shared" si="43"/>
        <v>0</v>
      </c>
      <c r="N50" s="360">
        <f t="shared" si="43"/>
        <v>0</v>
      </c>
      <c r="O50" s="361"/>
      <c r="P50" s="357">
        <f t="shared" ref="P50:AB50" si="44">P48+P49</f>
        <v>0</v>
      </c>
      <c r="Q50" s="357">
        <f t="shared" si="44"/>
        <v>0</v>
      </c>
      <c r="R50" s="357">
        <f t="shared" si="44"/>
        <v>0</v>
      </c>
      <c r="S50" s="357">
        <f t="shared" si="44"/>
        <v>0</v>
      </c>
      <c r="T50" s="357">
        <f t="shared" si="44"/>
        <v>0</v>
      </c>
      <c r="U50" s="357">
        <f t="shared" si="44"/>
        <v>0</v>
      </c>
      <c r="V50" s="357">
        <f t="shared" si="44"/>
        <v>0</v>
      </c>
      <c r="W50" s="357">
        <f t="shared" si="44"/>
        <v>0</v>
      </c>
      <c r="X50" s="357">
        <f t="shared" si="44"/>
        <v>0</v>
      </c>
      <c r="Y50" s="357">
        <f t="shared" si="44"/>
        <v>0</v>
      </c>
      <c r="Z50" s="357">
        <f t="shared" si="44"/>
        <v>0</v>
      </c>
      <c r="AA50" s="357">
        <f t="shared" si="44"/>
        <v>0</v>
      </c>
      <c r="AB50" s="360">
        <f t="shared" si="44"/>
        <v>0</v>
      </c>
      <c r="AC50" s="361"/>
    </row>
    <row r="51" ht="15.75" customHeight="1">
      <c r="A51" s="10"/>
      <c r="B51" s="10"/>
      <c r="C51" s="10"/>
      <c r="D51" s="10"/>
      <c r="E51" s="10"/>
      <c r="F51" s="10"/>
      <c r="G51" s="318"/>
      <c r="H51" s="362"/>
      <c r="I51" s="10"/>
      <c r="J51" s="10"/>
      <c r="K51" s="10"/>
      <c r="L51" s="10"/>
      <c r="M51" s="10"/>
      <c r="N51" s="44"/>
      <c r="O51" s="3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44"/>
      <c r="AC51" s="320"/>
    </row>
    <row r="52" ht="15.75" customHeight="1">
      <c r="A52" s="10" t="s">
        <v>353</v>
      </c>
      <c r="B52" s="170"/>
      <c r="C52" s="170"/>
      <c r="D52" s="170"/>
      <c r="E52" s="170"/>
      <c r="F52" s="170"/>
      <c r="G52" s="321"/>
      <c r="H52" s="354"/>
      <c r="I52" s="170"/>
      <c r="J52" s="170">
        <f t="shared" ref="J52:M52" si="45">MAX(J50,J48)</f>
        <v>0</v>
      </c>
      <c r="K52" s="170">
        <f t="shared" si="45"/>
        <v>0</v>
      </c>
      <c r="L52" s="170">
        <f t="shared" si="45"/>
        <v>0</v>
      </c>
      <c r="M52" s="170">
        <f t="shared" si="45"/>
        <v>0</v>
      </c>
      <c r="N52" s="44"/>
      <c r="O52" s="320"/>
      <c r="P52" s="170">
        <f t="shared" ref="P52:AA52" si="46">MAX(P50,P48)</f>
        <v>0</v>
      </c>
      <c r="Q52" s="170">
        <f t="shared" si="46"/>
        <v>0</v>
      </c>
      <c r="R52" s="170">
        <f t="shared" si="46"/>
        <v>0</v>
      </c>
      <c r="S52" s="170">
        <f t="shared" si="46"/>
        <v>0</v>
      </c>
      <c r="T52" s="170">
        <f t="shared" si="46"/>
        <v>0</v>
      </c>
      <c r="U52" s="170">
        <f t="shared" si="46"/>
        <v>0</v>
      </c>
      <c r="V52" s="170">
        <f t="shared" si="46"/>
        <v>0</v>
      </c>
      <c r="W52" s="170">
        <f t="shared" si="46"/>
        <v>0</v>
      </c>
      <c r="X52" s="170">
        <f t="shared" si="46"/>
        <v>0</v>
      </c>
      <c r="Y52" s="170">
        <f t="shared" si="46"/>
        <v>0</v>
      </c>
      <c r="Z52" s="170">
        <f t="shared" si="46"/>
        <v>0</v>
      </c>
      <c r="AA52" s="170">
        <f t="shared" si="46"/>
        <v>0</v>
      </c>
      <c r="AB52" s="44"/>
      <c r="AC52" s="320"/>
    </row>
    <row r="53" ht="15.75" customHeight="1">
      <c r="A53" s="10" t="s">
        <v>354</v>
      </c>
      <c r="B53" s="62"/>
      <c r="C53" s="62"/>
      <c r="D53" s="62"/>
      <c r="E53" s="62"/>
      <c r="F53" s="62"/>
      <c r="G53" s="323"/>
      <c r="H53" s="355"/>
      <c r="I53" s="62"/>
      <c r="J53" s="62">
        <v>31.0</v>
      </c>
      <c r="K53" s="62">
        <v>30.0</v>
      </c>
      <c r="L53" s="62">
        <v>31.0</v>
      </c>
      <c r="M53" s="62">
        <v>30.0</v>
      </c>
      <c r="N53" s="44"/>
      <c r="O53" s="320"/>
      <c r="P53" s="62">
        <v>31.0</v>
      </c>
      <c r="Q53" s="62">
        <v>31.0</v>
      </c>
      <c r="R53" s="62">
        <v>30.0</v>
      </c>
      <c r="S53" s="62">
        <v>31.0</v>
      </c>
      <c r="T53" s="62">
        <v>30.0</v>
      </c>
      <c r="U53" s="62">
        <v>31.0</v>
      </c>
      <c r="V53" s="62">
        <v>31.0</v>
      </c>
      <c r="W53" s="62">
        <v>27.0</v>
      </c>
      <c r="X53" s="62">
        <v>31.0</v>
      </c>
      <c r="Y53" s="62">
        <v>30.0</v>
      </c>
      <c r="Z53" s="62">
        <v>31.0</v>
      </c>
      <c r="AA53" s="62">
        <v>30.0</v>
      </c>
      <c r="AB53" s="44"/>
      <c r="AC53" s="320"/>
    </row>
    <row r="54" ht="15.75" customHeight="1">
      <c r="A54" s="10" t="s">
        <v>355</v>
      </c>
      <c r="B54" s="160"/>
      <c r="C54" s="160"/>
      <c r="D54" s="160"/>
      <c r="E54" s="160"/>
      <c r="F54" s="160"/>
      <c r="G54" s="363"/>
      <c r="H54" s="364"/>
      <c r="I54" s="160"/>
      <c r="J54" s="160">
        <v>0.08</v>
      </c>
      <c r="K54" s="156">
        <f t="shared" ref="K54:M54" si="47">J54</f>
        <v>0.08</v>
      </c>
      <c r="L54" s="156">
        <f t="shared" si="47"/>
        <v>0.08</v>
      </c>
      <c r="M54" s="156">
        <f t="shared" si="47"/>
        <v>0.08</v>
      </c>
      <c r="N54" s="44"/>
      <c r="O54" s="320"/>
      <c r="P54" s="156">
        <f>M54</f>
        <v>0.08</v>
      </c>
      <c r="Q54" s="156">
        <f t="shared" ref="Q54:AA54" si="48">P54</f>
        <v>0.08</v>
      </c>
      <c r="R54" s="156">
        <f t="shared" si="48"/>
        <v>0.08</v>
      </c>
      <c r="S54" s="156">
        <f t="shared" si="48"/>
        <v>0.08</v>
      </c>
      <c r="T54" s="156">
        <f t="shared" si="48"/>
        <v>0.08</v>
      </c>
      <c r="U54" s="156">
        <f t="shared" si="48"/>
        <v>0.08</v>
      </c>
      <c r="V54" s="156">
        <f t="shared" si="48"/>
        <v>0.08</v>
      </c>
      <c r="W54" s="156">
        <f t="shared" si="48"/>
        <v>0.08</v>
      </c>
      <c r="X54" s="156">
        <f t="shared" si="48"/>
        <v>0.08</v>
      </c>
      <c r="Y54" s="156">
        <f t="shared" si="48"/>
        <v>0.08</v>
      </c>
      <c r="Z54" s="156">
        <f t="shared" si="48"/>
        <v>0.08</v>
      </c>
      <c r="AA54" s="156">
        <f t="shared" si="48"/>
        <v>0.08</v>
      </c>
      <c r="AB54" s="44"/>
      <c r="AC54" s="320"/>
    </row>
    <row r="55" ht="15.75" customHeight="1">
      <c r="A55" s="10" t="s">
        <v>356</v>
      </c>
      <c r="B55" s="365"/>
      <c r="C55" s="365"/>
      <c r="D55" s="365"/>
      <c r="E55" s="365"/>
      <c r="F55" s="365"/>
      <c r="G55" s="366"/>
      <c r="H55" s="367"/>
      <c r="I55" s="365"/>
      <c r="J55" s="365">
        <f t="shared" ref="J55:M55" si="49">J54/365</f>
        <v>0.0002191780822</v>
      </c>
      <c r="K55" s="365">
        <f t="shared" si="49"/>
        <v>0.0002191780822</v>
      </c>
      <c r="L55" s="365">
        <f t="shared" si="49"/>
        <v>0.0002191780822</v>
      </c>
      <c r="M55" s="365">
        <f t="shared" si="49"/>
        <v>0.0002191780822</v>
      </c>
      <c r="N55" s="44"/>
      <c r="O55" s="320"/>
      <c r="P55" s="365">
        <f t="shared" ref="P55:AA55" si="50">P54/365</f>
        <v>0.0002191780822</v>
      </c>
      <c r="Q55" s="365">
        <f t="shared" si="50"/>
        <v>0.0002191780822</v>
      </c>
      <c r="R55" s="365">
        <f t="shared" si="50"/>
        <v>0.0002191780822</v>
      </c>
      <c r="S55" s="365">
        <f t="shared" si="50"/>
        <v>0.0002191780822</v>
      </c>
      <c r="T55" s="365">
        <f t="shared" si="50"/>
        <v>0.0002191780822</v>
      </c>
      <c r="U55" s="365">
        <f t="shared" si="50"/>
        <v>0.0002191780822</v>
      </c>
      <c r="V55" s="365">
        <f t="shared" si="50"/>
        <v>0.0002191780822</v>
      </c>
      <c r="W55" s="365">
        <f t="shared" si="50"/>
        <v>0.0002191780822</v>
      </c>
      <c r="X55" s="365">
        <f t="shared" si="50"/>
        <v>0.0002191780822</v>
      </c>
      <c r="Y55" s="365">
        <f t="shared" si="50"/>
        <v>0.0002191780822</v>
      </c>
      <c r="Z55" s="365">
        <f t="shared" si="50"/>
        <v>0.0002191780822</v>
      </c>
      <c r="AA55" s="365">
        <f t="shared" si="50"/>
        <v>0.0002191780822</v>
      </c>
      <c r="AB55" s="44"/>
      <c r="AC55" s="320"/>
    </row>
    <row r="56" ht="15.75" customHeight="1">
      <c r="A56" s="10"/>
      <c r="B56" s="365"/>
      <c r="C56" s="365"/>
      <c r="D56" s="365"/>
      <c r="E56" s="365"/>
      <c r="F56" s="365"/>
      <c r="G56" s="366"/>
      <c r="H56" s="367"/>
      <c r="I56" s="365"/>
      <c r="J56" s="365"/>
      <c r="K56" s="365"/>
      <c r="L56" s="365"/>
      <c r="M56" s="365"/>
      <c r="N56" s="44"/>
      <c r="O56" s="32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44"/>
      <c r="AC56" s="320"/>
    </row>
    <row r="57" ht="15.75" customHeight="1">
      <c r="A57" s="10" t="s">
        <v>357</v>
      </c>
      <c r="B57" s="170">
        <f t="shared" ref="B57:M57" si="51">B52*B53*B55</f>
        <v>0</v>
      </c>
      <c r="C57" s="170">
        <f t="shared" si="51"/>
        <v>0</v>
      </c>
      <c r="D57" s="170">
        <f t="shared" si="51"/>
        <v>0</v>
      </c>
      <c r="E57" s="170">
        <f t="shared" si="51"/>
        <v>0</v>
      </c>
      <c r="F57" s="170">
        <f t="shared" si="51"/>
        <v>0</v>
      </c>
      <c r="G57" s="321">
        <f t="shared" si="51"/>
        <v>0</v>
      </c>
      <c r="H57" s="354">
        <f t="shared" si="51"/>
        <v>0</v>
      </c>
      <c r="I57" s="170">
        <f t="shared" si="51"/>
        <v>0</v>
      </c>
      <c r="J57" s="170">
        <f t="shared" si="51"/>
        <v>0</v>
      </c>
      <c r="K57" s="170">
        <f t="shared" si="51"/>
        <v>0</v>
      </c>
      <c r="L57" s="170">
        <f t="shared" si="51"/>
        <v>0</v>
      </c>
      <c r="M57" s="170">
        <f t="shared" si="51"/>
        <v>0</v>
      </c>
      <c r="N57" s="169">
        <f t="shared" ref="N57:N58" si="54">SUM(B57:M57)</f>
        <v>0</v>
      </c>
      <c r="O57" s="320"/>
      <c r="P57" s="170">
        <f t="shared" ref="P57:AA57" si="52">P52*P53*P55</f>
        <v>0</v>
      </c>
      <c r="Q57" s="170">
        <f t="shared" si="52"/>
        <v>0</v>
      </c>
      <c r="R57" s="170">
        <f t="shared" si="52"/>
        <v>0</v>
      </c>
      <c r="S57" s="170">
        <f t="shared" si="52"/>
        <v>0</v>
      </c>
      <c r="T57" s="170">
        <f t="shared" si="52"/>
        <v>0</v>
      </c>
      <c r="U57" s="170">
        <f t="shared" si="52"/>
        <v>0</v>
      </c>
      <c r="V57" s="170">
        <f t="shared" si="52"/>
        <v>0</v>
      </c>
      <c r="W57" s="170">
        <f t="shared" si="52"/>
        <v>0</v>
      </c>
      <c r="X57" s="170">
        <f t="shared" si="52"/>
        <v>0</v>
      </c>
      <c r="Y57" s="170">
        <f t="shared" si="52"/>
        <v>0</v>
      </c>
      <c r="Z57" s="170">
        <f t="shared" si="52"/>
        <v>0</v>
      </c>
      <c r="AA57" s="170">
        <f t="shared" si="52"/>
        <v>0</v>
      </c>
      <c r="AB57" s="169">
        <f t="shared" ref="AB57:AB58" si="55">SUM(P57:AA57)</f>
        <v>0</v>
      </c>
      <c r="AC57" s="320"/>
    </row>
    <row r="58" ht="15.75" customHeight="1">
      <c r="A58" s="10" t="s">
        <v>358</v>
      </c>
      <c r="B58" s="62" t="str">
        <f t="shared" ref="B58:I58" si="53">B51</f>
        <v/>
      </c>
      <c r="C58" s="62" t="str">
        <f t="shared" si="53"/>
        <v/>
      </c>
      <c r="D58" s="62" t="str">
        <f t="shared" si="53"/>
        <v/>
      </c>
      <c r="E58" s="62" t="str">
        <f t="shared" si="53"/>
        <v/>
      </c>
      <c r="F58" s="62" t="str">
        <f t="shared" si="53"/>
        <v/>
      </c>
      <c r="G58" s="323" t="str">
        <f t="shared" si="53"/>
        <v/>
      </c>
      <c r="H58" s="355" t="str">
        <f t="shared" si="53"/>
        <v/>
      </c>
      <c r="I58" s="62" t="str">
        <f t="shared" si="53"/>
        <v/>
      </c>
      <c r="J58" s="62">
        <v>0.0</v>
      </c>
      <c r="K58" s="62">
        <v>0.0</v>
      </c>
      <c r="L58" s="62">
        <v>0.0</v>
      </c>
      <c r="M58" s="62">
        <v>0.0</v>
      </c>
      <c r="N58" s="61">
        <f t="shared" si="54"/>
        <v>0</v>
      </c>
      <c r="O58" s="320"/>
      <c r="P58" s="62">
        <v>0.0</v>
      </c>
      <c r="Q58" s="62">
        <v>0.0</v>
      </c>
      <c r="R58" s="62">
        <v>0.0</v>
      </c>
      <c r="S58" s="62">
        <v>0.0</v>
      </c>
      <c r="T58" s="62">
        <v>0.0</v>
      </c>
      <c r="U58" s="62">
        <v>0.0</v>
      </c>
      <c r="V58" s="62">
        <v>0.0</v>
      </c>
      <c r="W58" s="62">
        <v>0.0</v>
      </c>
      <c r="X58" s="62">
        <v>0.0</v>
      </c>
      <c r="Y58" s="62">
        <v>0.0</v>
      </c>
      <c r="Z58" s="62">
        <v>0.0</v>
      </c>
      <c r="AA58" s="62">
        <v>0.0</v>
      </c>
      <c r="AB58" s="61">
        <f t="shared" si="55"/>
        <v>0</v>
      </c>
      <c r="AC58" s="320"/>
    </row>
    <row r="59" ht="15.75" customHeight="1">
      <c r="A59" s="356" t="s">
        <v>359</v>
      </c>
      <c r="B59" s="357">
        <f t="shared" ref="B59:N59" si="56">B57+B58</f>
        <v>0</v>
      </c>
      <c r="C59" s="357">
        <f t="shared" si="56"/>
        <v>0</v>
      </c>
      <c r="D59" s="357">
        <f t="shared" si="56"/>
        <v>0</v>
      </c>
      <c r="E59" s="357">
        <f t="shared" si="56"/>
        <v>0</v>
      </c>
      <c r="F59" s="357">
        <f t="shared" si="56"/>
        <v>0</v>
      </c>
      <c r="G59" s="358">
        <f t="shared" si="56"/>
        <v>0</v>
      </c>
      <c r="H59" s="359">
        <f t="shared" si="56"/>
        <v>0</v>
      </c>
      <c r="I59" s="357">
        <f t="shared" si="56"/>
        <v>0</v>
      </c>
      <c r="J59" s="357">
        <f t="shared" si="56"/>
        <v>0</v>
      </c>
      <c r="K59" s="357">
        <f t="shared" si="56"/>
        <v>0</v>
      </c>
      <c r="L59" s="357">
        <f t="shared" si="56"/>
        <v>0</v>
      </c>
      <c r="M59" s="357">
        <f t="shared" si="56"/>
        <v>0</v>
      </c>
      <c r="N59" s="360">
        <f t="shared" si="56"/>
        <v>0</v>
      </c>
      <c r="O59" s="361"/>
      <c r="P59" s="357">
        <f t="shared" ref="P59:AB59" si="57">P57+P58</f>
        <v>0</v>
      </c>
      <c r="Q59" s="357">
        <f t="shared" si="57"/>
        <v>0</v>
      </c>
      <c r="R59" s="357">
        <f t="shared" si="57"/>
        <v>0</v>
      </c>
      <c r="S59" s="357">
        <f t="shared" si="57"/>
        <v>0</v>
      </c>
      <c r="T59" s="357">
        <f t="shared" si="57"/>
        <v>0</v>
      </c>
      <c r="U59" s="357">
        <f t="shared" si="57"/>
        <v>0</v>
      </c>
      <c r="V59" s="357">
        <f t="shared" si="57"/>
        <v>0</v>
      </c>
      <c r="W59" s="357">
        <f t="shared" si="57"/>
        <v>0</v>
      </c>
      <c r="X59" s="357">
        <f t="shared" si="57"/>
        <v>0</v>
      </c>
      <c r="Y59" s="357">
        <f t="shared" si="57"/>
        <v>0</v>
      </c>
      <c r="Z59" s="357">
        <f t="shared" si="57"/>
        <v>0</v>
      </c>
      <c r="AA59" s="357">
        <f t="shared" si="57"/>
        <v>0</v>
      </c>
      <c r="AB59" s="360">
        <f t="shared" si="57"/>
        <v>0</v>
      </c>
      <c r="AC59" s="361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</sheetData>
  <mergeCells count="2">
    <mergeCell ref="B5:M5"/>
    <mergeCell ref="P5:AA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0.88"/>
    <col customWidth="1" min="2" max="11" width="13.63"/>
  </cols>
  <sheetData>
    <row r="1" ht="15.75" customHeight="1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5.75" customHeight="1">
      <c r="A2" s="11" t="s">
        <v>76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2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3"/>
      <c r="B5" s="15" t="s">
        <v>27</v>
      </c>
      <c r="C5" s="16"/>
      <c r="D5" s="16"/>
      <c r="E5" s="16"/>
      <c r="F5" s="16"/>
      <c r="G5" s="16"/>
      <c r="H5" s="16"/>
      <c r="I5" s="16"/>
      <c r="J5" s="16"/>
      <c r="K5" s="16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66" t="s">
        <v>28</v>
      </c>
      <c r="B6" s="19">
        <v>2023.0</v>
      </c>
      <c r="C6" s="19">
        <f t="shared" ref="C6:K6" si="1">B6+1</f>
        <v>2024</v>
      </c>
      <c r="D6" s="19">
        <f t="shared" si="1"/>
        <v>2025</v>
      </c>
      <c r="E6" s="19">
        <f t="shared" si="1"/>
        <v>2026</v>
      </c>
      <c r="F6" s="19">
        <f t="shared" si="1"/>
        <v>2027</v>
      </c>
      <c r="G6" s="19">
        <f t="shared" si="1"/>
        <v>2028</v>
      </c>
      <c r="H6" s="19">
        <f t="shared" si="1"/>
        <v>2029</v>
      </c>
      <c r="I6" s="19">
        <f t="shared" si="1"/>
        <v>2030</v>
      </c>
      <c r="J6" s="19">
        <f t="shared" si="1"/>
        <v>2031</v>
      </c>
      <c r="K6" s="19">
        <f t="shared" si="1"/>
        <v>2032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20" t="s">
        <v>29</v>
      </c>
      <c r="B7" s="22">
        <v>1.0</v>
      </c>
      <c r="C7" s="22">
        <f t="shared" ref="C7:K7" si="2">B7+1</f>
        <v>2</v>
      </c>
      <c r="D7" s="22">
        <f t="shared" si="2"/>
        <v>3</v>
      </c>
      <c r="E7" s="22">
        <f t="shared" si="2"/>
        <v>4</v>
      </c>
      <c r="F7" s="22">
        <f t="shared" si="2"/>
        <v>5</v>
      </c>
      <c r="G7" s="22">
        <f t="shared" si="2"/>
        <v>6</v>
      </c>
      <c r="H7" s="22">
        <f t="shared" si="2"/>
        <v>7</v>
      </c>
      <c r="I7" s="22">
        <f t="shared" si="2"/>
        <v>8</v>
      </c>
      <c r="J7" s="22">
        <f t="shared" si="2"/>
        <v>9</v>
      </c>
      <c r="K7" s="22">
        <f t="shared" si="2"/>
        <v>10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0"/>
      <c r="B8" s="24"/>
      <c r="C8" s="24"/>
      <c r="D8" s="24"/>
      <c r="E8" s="24"/>
      <c r="F8" s="24"/>
      <c r="G8" s="24"/>
      <c r="H8" s="24"/>
      <c r="I8" s="24"/>
      <c r="J8" s="24"/>
      <c r="K8" s="2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10" t="s">
        <v>30</v>
      </c>
      <c r="B9" s="26">
        <f>'Enrollment &amp; Revenue'!C17</f>
        <v>110</v>
      </c>
      <c r="C9" s="26">
        <f>'Enrollment &amp; Revenue'!D17</f>
        <v>228</v>
      </c>
      <c r="D9" s="26">
        <f>'Enrollment &amp; Revenue'!E17</f>
        <v>309</v>
      </c>
      <c r="E9" s="26">
        <f>'Enrollment &amp; Revenue'!F17</f>
        <v>399</v>
      </c>
      <c r="F9" s="26">
        <f>'Enrollment &amp; Revenue'!G17</f>
        <v>489</v>
      </c>
      <c r="G9" s="26">
        <f>'Enrollment &amp; Revenue'!H17</f>
        <v>579</v>
      </c>
      <c r="H9" s="26">
        <f>'Enrollment &amp; Revenue'!I17</f>
        <v>669</v>
      </c>
      <c r="I9" s="26">
        <f>'Enrollment &amp; Revenue'!J17</f>
        <v>669</v>
      </c>
      <c r="J9" s="26">
        <f>'Enrollment &amp; Revenue'!K17</f>
        <v>669</v>
      </c>
      <c r="K9" s="26">
        <f>'Enrollment &amp; Revenue'!L17</f>
        <v>669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10" t="s">
        <v>9</v>
      </c>
      <c r="B10" s="28">
        <f>'Enrollment &amp; Revenue'!C21</f>
        <v>2670544.816</v>
      </c>
      <c r="C10" s="28">
        <f>'Enrollment &amp; Revenue'!D21</f>
        <v>4574569.276</v>
      </c>
      <c r="D10" s="28">
        <f>'Enrollment &amp; Revenue'!E21</f>
        <v>5648732.492</v>
      </c>
      <c r="E10" s="28">
        <f>'Enrollment &amp; Revenue'!F21</f>
        <v>7294477.058</v>
      </c>
      <c r="F10" s="28">
        <f>'Enrollment &amp; Revenue'!G21</f>
        <v>9106024.751</v>
      </c>
      <c r="G10" s="28">
        <f>'Enrollment &amp; Revenue'!H21</f>
        <v>10985328.23</v>
      </c>
      <c r="H10" s="28">
        <f>'Enrollment &amp; Revenue'!I21</f>
        <v>12934391.96</v>
      </c>
      <c r="I10" s="28">
        <f>'Enrollment &amp; Revenue'!J21</f>
        <v>13185478.18</v>
      </c>
      <c r="J10" s="28">
        <f>'Enrollment &amp; Revenue'!K21</f>
        <v>13441586.13</v>
      </c>
      <c r="K10" s="28">
        <f>'Enrollment &amp; Revenue'!L21</f>
        <v>13702816.23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9" t="s">
        <v>31</v>
      </c>
      <c r="B11" s="30">
        <f t="shared" ref="B11:K11" si="3">B10/B9</f>
        <v>24277.68015</v>
      </c>
      <c r="C11" s="30">
        <f t="shared" si="3"/>
        <v>20063.90033</v>
      </c>
      <c r="D11" s="30">
        <f t="shared" si="3"/>
        <v>18280.68767</v>
      </c>
      <c r="E11" s="30">
        <f t="shared" si="3"/>
        <v>18281.89739</v>
      </c>
      <c r="F11" s="30">
        <f t="shared" si="3"/>
        <v>18621.72751</v>
      </c>
      <c r="G11" s="30">
        <f t="shared" si="3"/>
        <v>18972.93305</v>
      </c>
      <c r="H11" s="30">
        <f t="shared" si="3"/>
        <v>19333.91922</v>
      </c>
      <c r="I11" s="30">
        <f t="shared" si="3"/>
        <v>19709.23495</v>
      </c>
      <c r="J11" s="30">
        <f t="shared" si="3"/>
        <v>20092.05699</v>
      </c>
      <c r="K11" s="30">
        <f t="shared" si="3"/>
        <v>20482.53548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10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31" t="s">
        <v>360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10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10" t="s">
        <v>79</v>
      </c>
      <c r="B15" s="26">
        <f t="shared" ref="B15:K15" si="4">+B39</f>
        <v>11</v>
      </c>
      <c r="C15" s="26">
        <f t="shared" si="4"/>
        <v>18</v>
      </c>
      <c r="D15" s="26">
        <f t="shared" si="4"/>
        <v>23</v>
      </c>
      <c r="E15" s="26">
        <f t="shared" si="4"/>
        <v>33</v>
      </c>
      <c r="F15" s="26">
        <f t="shared" si="4"/>
        <v>42</v>
      </c>
      <c r="G15" s="26">
        <f t="shared" si="4"/>
        <v>48</v>
      </c>
      <c r="H15" s="26">
        <f t="shared" si="4"/>
        <v>54</v>
      </c>
      <c r="I15" s="26">
        <f t="shared" si="4"/>
        <v>54</v>
      </c>
      <c r="J15" s="26">
        <f t="shared" si="4"/>
        <v>54</v>
      </c>
      <c r="K15" s="26">
        <f t="shared" si="4"/>
        <v>54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10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10" t="s">
        <v>361</v>
      </c>
      <c r="B17" s="28">
        <f t="shared" ref="B17:K17" si="5">+B18*B15</f>
        <v>715000</v>
      </c>
      <c r="C17" s="28">
        <f t="shared" si="5"/>
        <v>1193400</v>
      </c>
      <c r="D17" s="28">
        <f t="shared" si="5"/>
        <v>1555398</v>
      </c>
      <c r="E17" s="28">
        <f t="shared" si="5"/>
        <v>2276291.16</v>
      </c>
      <c r="F17" s="28">
        <f t="shared" si="5"/>
        <v>2955039.797</v>
      </c>
      <c r="G17" s="28">
        <f t="shared" si="5"/>
        <v>3444732.106</v>
      </c>
      <c r="H17" s="28">
        <f t="shared" si="5"/>
        <v>3952830.092</v>
      </c>
      <c r="I17" s="28">
        <f t="shared" si="5"/>
        <v>4031886.693</v>
      </c>
      <c r="J17" s="28">
        <f t="shared" si="5"/>
        <v>4112524.427</v>
      </c>
      <c r="K17" s="28">
        <f t="shared" si="5"/>
        <v>4194774.916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29" t="s">
        <v>362</v>
      </c>
      <c r="B18" s="30">
        <f>'Staff &amp; Personnel Expenses'!C85</f>
        <v>65000</v>
      </c>
      <c r="C18" s="30">
        <f>'Staff &amp; Personnel Expenses'!D85</f>
        <v>66300</v>
      </c>
      <c r="D18" s="30">
        <f>'Staff &amp; Personnel Expenses'!E85</f>
        <v>67626</v>
      </c>
      <c r="E18" s="30">
        <f>'Staff &amp; Personnel Expenses'!F85</f>
        <v>68978.52</v>
      </c>
      <c r="F18" s="30">
        <f>'Staff &amp; Personnel Expenses'!G85</f>
        <v>70358.0904</v>
      </c>
      <c r="G18" s="30">
        <f>'Staff &amp; Personnel Expenses'!H85</f>
        <v>71765.25221</v>
      </c>
      <c r="H18" s="30">
        <f>'Staff &amp; Personnel Expenses'!I85</f>
        <v>73200.55725</v>
      </c>
      <c r="I18" s="30">
        <f>'Staff &amp; Personnel Expenses'!J85</f>
        <v>74664.5684</v>
      </c>
      <c r="J18" s="30">
        <f>'Staff &amp; Personnel Expenses'!K85</f>
        <v>76157.85977</v>
      </c>
      <c r="K18" s="30">
        <f>'Staff &amp; Personnel Expenses'!L85</f>
        <v>77681.01696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29" t="s">
        <v>83</v>
      </c>
      <c r="B19" s="114">
        <f t="shared" ref="B19:K19" si="6">B17/B10</f>
        <v>0.2677356304</v>
      </c>
      <c r="C19" s="114">
        <f t="shared" si="6"/>
        <v>0.2608770199</v>
      </c>
      <c r="D19" s="114">
        <f t="shared" si="6"/>
        <v>0.2753534536</v>
      </c>
      <c r="E19" s="114">
        <f t="shared" si="6"/>
        <v>0.3120567988</v>
      </c>
      <c r="F19" s="114">
        <f t="shared" si="6"/>
        <v>0.3245147996</v>
      </c>
      <c r="G19" s="114">
        <f t="shared" si="6"/>
        <v>0.3135757105</v>
      </c>
      <c r="H19" s="114">
        <f t="shared" si="6"/>
        <v>0.305606178</v>
      </c>
      <c r="I19" s="114">
        <f t="shared" si="6"/>
        <v>0.3057823644</v>
      </c>
      <c r="J19" s="114">
        <f t="shared" si="6"/>
        <v>0.3059552934</v>
      </c>
      <c r="K19" s="114">
        <f t="shared" si="6"/>
        <v>0.3061250216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 t="s">
        <v>363</v>
      </c>
      <c r="B21" s="28">
        <f t="shared" ref="B21:K21" si="7">+B22*B15</f>
        <v>84946.54658</v>
      </c>
      <c r="C21" s="28">
        <f t="shared" si="7"/>
        <v>228246.8944</v>
      </c>
      <c r="D21" s="28">
        <f t="shared" si="7"/>
        <v>297481.7857</v>
      </c>
      <c r="E21" s="28">
        <f t="shared" si="7"/>
        <v>435358.1263</v>
      </c>
      <c r="F21" s="28">
        <f t="shared" si="7"/>
        <v>565174.004</v>
      </c>
      <c r="G21" s="28">
        <f t="shared" si="7"/>
        <v>658831.4104</v>
      </c>
      <c r="H21" s="28">
        <f t="shared" si="7"/>
        <v>756009.0434</v>
      </c>
      <c r="I21" s="28">
        <f t="shared" si="7"/>
        <v>771129.2243</v>
      </c>
      <c r="J21" s="28">
        <f t="shared" si="7"/>
        <v>786551.8088</v>
      </c>
      <c r="K21" s="28">
        <f t="shared" si="7"/>
        <v>802282.845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29" t="s">
        <v>364</v>
      </c>
      <c r="B22" s="30">
        <f>'Staff &amp; Personnel Expenses'!C97/'Staff &amp; Personnel Expenses'!C60</f>
        <v>7722.413325</v>
      </c>
      <c r="C22" s="30">
        <f>'Staff &amp; Personnel Expenses'!D97/'Staff &amp; Personnel Expenses'!D60</f>
        <v>12680.38302</v>
      </c>
      <c r="D22" s="30">
        <f>'Staff &amp; Personnel Expenses'!E97/'Staff &amp; Personnel Expenses'!E60</f>
        <v>12933.99068</v>
      </c>
      <c r="E22" s="30">
        <f>'Staff &amp; Personnel Expenses'!F97/'Staff &amp; Personnel Expenses'!F60</f>
        <v>13192.6705</v>
      </c>
      <c r="F22" s="30">
        <f>'Staff &amp; Personnel Expenses'!G97/'Staff &amp; Personnel Expenses'!G60</f>
        <v>13456.52391</v>
      </c>
      <c r="G22" s="30">
        <f>'Staff &amp; Personnel Expenses'!H97/'Staff &amp; Personnel Expenses'!H60</f>
        <v>13725.65438</v>
      </c>
      <c r="H22" s="30">
        <f>'Staff &amp; Personnel Expenses'!I97/'Staff &amp; Personnel Expenses'!I60</f>
        <v>14000.16747</v>
      </c>
      <c r="I22" s="30">
        <f>'Staff &amp; Personnel Expenses'!J97/'Staff &amp; Personnel Expenses'!J60</f>
        <v>14280.17082</v>
      </c>
      <c r="J22" s="30">
        <f>'Staff &amp; Personnel Expenses'!K97/'Staff &amp; Personnel Expenses'!K60</f>
        <v>14565.77424</v>
      </c>
      <c r="K22" s="30">
        <f>'Staff &amp; Personnel Expenses'!L97/'Staff &amp; Personnel Expenses'!L60</f>
        <v>14857.08972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29" t="s">
        <v>83</v>
      </c>
      <c r="B23" s="114">
        <f t="shared" ref="B23:K23" si="8">+B21/B10</f>
        <v>0.03180869539</v>
      </c>
      <c r="C23" s="114">
        <f t="shared" si="8"/>
        <v>0.04989472902</v>
      </c>
      <c r="D23" s="114">
        <f t="shared" si="8"/>
        <v>0.05266345789</v>
      </c>
      <c r="E23" s="114">
        <f t="shared" si="8"/>
        <v>0.0596832539</v>
      </c>
      <c r="F23" s="114">
        <f t="shared" si="8"/>
        <v>0.062065942</v>
      </c>
      <c r="G23" s="114">
        <f t="shared" si="8"/>
        <v>0.0599737574</v>
      </c>
      <c r="H23" s="114">
        <f t="shared" si="8"/>
        <v>0.05844952325</v>
      </c>
      <c r="I23" s="114">
        <f t="shared" si="8"/>
        <v>0.05848322023</v>
      </c>
      <c r="J23" s="114">
        <f t="shared" si="8"/>
        <v>0.05851629423</v>
      </c>
      <c r="K23" s="114">
        <f t="shared" si="8"/>
        <v>0.05854875606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31" t="s">
        <v>365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48" t="s">
        <v>98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10" t="str">
        <f>+'Staff &amp; Personnel Expenses'!A40</f>
        <v>Elective Teachers</v>
      </c>
      <c r="B28" s="62">
        <f>+'Staff &amp; Personnel Expenses'!C40</f>
        <v>2</v>
      </c>
      <c r="C28" s="62">
        <f>+'Staff &amp; Personnel Expenses'!D40</f>
        <v>4</v>
      </c>
      <c r="D28" s="62">
        <f>+'Staff &amp; Personnel Expenses'!E40</f>
        <v>4</v>
      </c>
      <c r="E28" s="62">
        <f>+'Staff &amp; Personnel Expenses'!F40</f>
        <v>9</v>
      </c>
      <c r="F28" s="62">
        <f>+'Staff &amp; Personnel Expenses'!G40</f>
        <v>13</v>
      </c>
      <c r="G28" s="62">
        <f>+'Staff &amp; Personnel Expenses'!H40</f>
        <v>14</v>
      </c>
      <c r="H28" s="62">
        <f>+'Staff &amp; Personnel Expenses'!I40</f>
        <v>15</v>
      </c>
      <c r="I28" s="62">
        <f>+'Staff &amp; Personnel Expenses'!J40</f>
        <v>15</v>
      </c>
      <c r="J28" s="62">
        <f>+'Staff &amp; Personnel Expenses'!K40</f>
        <v>15</v>
      </c>
      <c r="K28" s="62">
        <f>+'Staff &amp; Personnel Expenses'!L40</f>
        <v>15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0" t="str">
        <f>+'Staff &amp; Personnel Expenses'!A41</f>
        <v>Special Education/ ELL Teachers</v>
      </c>
      <c r="B29" s="62">
        <v>3.0</v>
      </c>
      <c r="C29" s="62">
        <f>+'Staff &amp; Personnel Expenses'!D41</f>
        <v>5</v>
      </c>
      <c r="D29" s="62">
        <f>+'Staff &amp; Personnel Expenses'!E41</f>
        <v>7</v>
      </c>
      <c r="E29" s="62">
        <f>+'Staff &amp; Personnel Expenses'!F41</f>
        <v>9</v>
      </c>
      <c r="F29" s="62">
        <f>+'Staff &amp; Personnel Expenses'!G41</f>
        <v>11</v>
      </c>
      <c r="G29" s="62">
        <f>+'Staff &amp; Personnel Expenses'!H41</f>
        <v>13</v>
      </c>
      <c r="H29" s="62">
        <f>+'Staff &amp; Personnel Expenses'!I41</f>
        <v>15</v>
      </c>
      <c r="I29" s="62">
        <f>+'Staff &amp; Personnel Expenses'!J41</f>
        <v>15</v>
      </c>
      <c r="J29" s="62">
        <f>+'Staff &amp; Personnel Expenses'!K41</f>
        <v>15</v>
      </c>
      <c r="K29" s="62">
        <f>+'Staff &amp; Personnel Expenses'!L41</f>
        <v>15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10" t="str">
        <f>+'Staff &amp; Personnel Expenses'!A42</f>
        <v>Kindergarten</v>
      </c>
      <c r="B30" s="62">
        <f>+'Staff &amp; Personnel Expenses'!C42</f>
        <v>0</v>
      </c>
      <c r="C30" s="62">
        <f>+'Staff &amp; Personnel Expenses'!D42</f>
        <v>0</v>
      </c>
      <c r="D30" s="62">
        <f>+'Staff &amp; Personnel Expenses'!E42</f>
        <v>0</v>
      </c>
      <c r="E30" s="62">
        <f>+'Staff &amp; Personnel Expenses'!F42</f>
        <v>0</v>
      </c>
      <c r="F30" s="62">
        <f>+'Staff &amp; Personnel Expenses'!G42</f>
        <v>0</v>
      </c>
      <c r="G30" s="62">
        <f>+'Staff &amp; Personnel Expenses'!H42</f>
        <v>0</v>
      </c>
      <c r="H30" s="62">
        <f>+'Staff &amp; Personnel Expenses'!I42</f>
        <v>0</v>
      </c>
      <c r="I30" s="62">
        <f>+'Staff &amp; Personnel Expenses'!J42</f>
        <v>0</v>
      </c>
      <c r="J30" s="62">
        <f>+'Staff &amp; Personnel Expenses'!K42</f>
        <v>0</v>
      </c>
      <c r="K30" s="62">
        <f>+'Staff &amp; Personnel Expenses'!L42</f>
        <v>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0" t="str">
        <f>+'Staff &amp; Personnel Expenses'!A43</f>
        <v>1st Grade</v>
      </c>
      <c r="B31" s="62">
        <f>+'Staff &amp; Personnel Expenses'!C43</f>
        <v>0</v>
      </c>
      <c r="C31" s="62">
        <f>+'Staff &amp; Personnel Expenses'!D43</f>
        <v>0</v>
      </c>
      <c r="D31" s="62">
        <f>+'Staff &amp; Personnel Expenses'!E43</f>
        <v>0</v>
      </c>
      <c r="E31" s="62">
        <f>+'Staff &amp; Personnel Expenses'!F43</f>
        <v>0</v>
      </c>
      <c r="F31" s="62">
        <f>+'Staff &amp; Personnel Expenses'!G43</f>
        <v>0</v>
      </c>
      <c r="G31" s="62">
        <f>+'Staff &amp; Personnel Expenses'!H43</f>
        <v>0</v>
      </c>
      <c r="H31" s="62">
        <f>+'Staff &amp; Personnel Expenses'!I43</f>
        <v>0</v>
      </c>
      <c r="I31" s="62">
        <f>+'Staff &amp; Personnel Expenses'!J43</f>
        <v>0</v>
      </c>
      <c r="J31" s="62">
        <f>+'Staff &amp; Personnel Expenses'!K43</f>
        <v>0</v>
      </c>
      <c r="K31" s="62">
        <f>+'Staff &amp; Personnel Expenses'!L43</f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 t="str">
        <f>+'Staff &amp; Personnel Expenses'!A44</f>
        <v>2nd Grade</v>
      </c>
      <c r="B32" s="62">
        <f>+'Staff &amp; Personnel Expenses'!C44</f>
        <v>0</v>
      </c>
      <c r="C32" s="62">
        <f>+'Staff &amp; Personnel Expenses'!D44</f>
        <v>0</v>
      </c>
      <c r="D32" s="62">
        <f>+'Staff &amp; Personnel Expenses'!E44</f>
        <v>0</v>
      </c>
      <c r="E32" s="62">
        <f>+'Staff &amp; Personnel Expenses'!F44</f>
        <v>0</v>
      </c>
      <c r="F32" s="62">
        <f>+'Staff &amp; Personnel Expenses'!G44</f>
        <v>0</v>
      </c>
      <c r="G32" s="62">
        <f>+'Staff &amp; Personnel Expenses'!H44</f>
        <v>0</v>
      </c>
      <c r="H32" s="62">
        <f>+'Staff &amp; Personnel Expenses'!I44</f>
        <v>0</v>
      </c>
      <c r="I32" s="62">
        <f>+'Staff &amp; Personnel Expenses'!J44</f>
        <v>0</v>
      </c>
      <c r="J32" s="62">
        <f>+'Staff &amp; Personnel Expenses'!K44</f>
        <v>0</v>
      </c>
      <c r="K32" s="62">
        <f>+'Staff &amp; Personnel Expenses'!L44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0" t="str">
        <f>+'Staff &amp; Personnel Expenses'!A45</f>
        <v>3rd Grade</v>
      </c>
      <c r="B33" s="62">
        <f>+'Staff &amp; Personnel Expenses'!C45</f>
        <v>0</v>
      </c>
      <c r="C33" s="62">
        <f>+'Staff &amp; Personnel Expenses'!D45</f>
        <v>0</v>
      </c>
      <c r="D33" s="62">
        <f>+'Staff &amp; Personnel Expenses'!E45</f>
        <v>0</v>
      </c>
      <c r="E33" s="62">
        <f>+'Staff &amp; Personnel Expenses'!F45</f>
        <v>0</v>
      </c>
      <c r="F33" s="62">
        <f>+'Staff &amp; Personnel Expenses'!G45</f>
        <v>0</v>
      </c>
      <c r="G33" s="62">
        <f>+'Staff &amp; Personnel Expenses'!H45</f>
        <v>0</v>
      </c>
      <c r="H33" s="62">
        <f>+'Staff &amp; Personnel Expenses'!I45</f>
        <v>0</v>
      </c>
      <c r="I33" s="62">
        <f>+'Staff &amp; Personnel Expenses'!J45</f>
        <v>0</v>
      </c>
      <c r="J33" s="62">
        <f>+'Staff &amp; Personnel Expenses'!K45</f>
        <v>0</v>
      </c>
      <c r="K33" s="62">
        <f>+'Staff &amp; Personnel Expenses'!L45</f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10" t="str">
        <f>+'Staff &amp; Personnel Expenses'!A46</f>
        <v>4th Grade</v>
      </c>
      <c r="B34" s="62">
        <f>+'Staff &amp; Personnel Expenses'!C46</f>
        <v>0</v>
      </c>
      <c r="C34" s="62">
        <f>+'Staff &amp; Personnel Expenses'!D46</f>
        <v>0</v>
      </c>
      <c r="D34" s="62">
        <f>+'Staff &amp; Personnel Expenses'!E46</f>
        <v>0</v>
      </c>
      <c r="E34" s="62">
        <f>+'Staff &amp; Personnel Expenses'!F46</f>
        <v>0</v>
      </c>
      <c r="F34" s="62">
        <f>+'Staff &amp; Personnel Expenses'!G46</f>
        <v>0</v>
      </c>
      <c r="G34" s="62">
        <f>+'Staff &amp; Personnel Expenses'!H46</f>
        <v>0</v>
      </c>
      <c r="H34" s="62">
        <f>+'Staff &amp; Personnel Expenses'!I46</f>
        <v>0</v>
      </c>
      <c r="I34" s="62">
        <f>+'Staff &amp; Personnel Expenses'!J46</f>
        <v>0</v>
      </c>
      <c r="J34" s="62">
        <f>+'Staff &amp; Personnel Expenses'!K46</f>
        <v>0</v>
      </c>
      <c r="K34" s="62">
        <f>+'Staff &amp; Personnel Expenses'!L46</f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55" t="str">
        <f>+'Staff &amp; Personnel Expenses'!A47</f>
        <v>5th Grade</v>
      </c>
      <c r="B35" s="65">
        <f>+'Staff &amp; Personnel Expenses'!C47</f>
        <v>3</v>
      </c>
      <c r="C35" s="65">
        <f>+'Staff &amp; Personnel Expenses'!D47</f>
        <v>3</v>
      </c>
      <c r="D35" s="65">
        <f>+'Staff &amp; Personnel Expenses'!E47</f>
        <v>3</v>
      </c>
      <c r="E35" s="65">
        <f>+'Staff &amp; Personnel Expenses'!F47</f>
        <v>3</v>
      </c>
      <c r="F35" s="65">
        <f>+'Staff &amp; Personnel Expenses'!G47</f>
        <v>3</v>
      </c>
      <c r="G35" s="65">
        <f>+'Staff &amp; Personnel Expenses'!H47</f>
        <v>3</v>
      </c>
      <c r="H35" s="65">
        <f>+'Staff &amp; Personnel Expenses'!I47</f>
        <v>3</v>
      </c>
      <c r="I35" s="65">
        <f>+'Staff &amp; Personnel Expenses'!J47</f>
        <v>3</v>
      </c>
      <c r="J35" s="65">
        <f>+'Staff &amp; Personnel Expenses'!K47</f>
        <v>3</v>
      </c>
      <c r="K35" s="65">
        <f>+'Staff &amp; Personnel Expenses'!L47</f>
        <v>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10" t="str">
        <f>+'Staff &amp; Personnel Expenses'!A48</f>
        <v>6th Grade</v>
      </c>
      <c r="B36" s="62">
        <f>+'Staff &amp; Personnel Expenses'!C48</f>
        <v>3</v>
      </c>
      <c r="C36" s="62">
        <f>+'Staff &amp; Personnel Expenses'!D48</f>
        <v>3</v>
      </c>
      <c r="D36" s="62">
        <f>+'Staff &amp; Personnel Expenses'!E48</f>
        <v>3</v>
      </c>
      <c r="E36" s="62">
        <f>+'Staff &amp; Personnel Expenses'!F48</f>
        <v>3</v>
      </c>
      <c r="F36" s="62">
        <f>+'Staff &amp; Personnel Expenses'!G48</f>
        <v>3</v>
      </c>
      <c r="G36" s="62">
        <f>+'Staff &amp; Personnel Expenses'!H48</f>
        <v>3</v>
      </c>
      <c r="H36" s="62">
        <f>+'Staff &amp; Personnel Expenses'!I48</f>
        <v>3</v>
      </c>
      <c r="I36" s="62">
        <f>+'Staff &amp; Personnel Expenses'!J48</f>
        <v>3</v>
      </c>
      <c r="J36" s="62">
        <f>+'Staff &amp; Personnel Expenses'!K48</f>
        <v>3</v>
      </c>
      <c r="K36" s="62">
        <f>+'Staff &amp; Personnel Expenses'!L48</f>
        <v>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0" t="str">
        <f>+'Staff &amp; Personnel Expenses'!A49</f>
        <v>7th Grade</v>
      </c>
      <c r="B37" s="62">
        <f>+'Staff &amp; Personnel Expenses'!C49</f>
        <v>0</v>
      </c>
      <c r="C37" s="62">
        <f>+'Staff &amp; Personnel Expenses'!D49</f>
        <v>3</v>
      </c>
      <c r="D37" s="62">
        <f>+'Staff &amp; Personnel Expenses'!E49</f>
        <v>3</v>
      </c>
      <c r="E37" s="62">
        <f>+'Staff &amp; Personnel Expenses'!F49</f>
        <v>3</v>
      </c>
      <c r="F37" s="62">
        <f>+'Staff &amp; Personnel Expenses'!G49</f>
        <v>3</v>
      </c>
      <c r="G37" s="62">
        <f>+'Staff &amp; Personnel Expenses'!H49</f>
        <v>3</v>
      </c>
      <c r="H37" s="62">
        <f>+'Staff &amp; Personnel Expenses'!I49</f>
        <v>3</v>
      </c>
      <c r="I37" s="62">
        <f>+'Staff &amp; Personnel Expenses'!J49</f>
        <v>3</v>
      </c>
      <c r="J37" s="62">
        <f>+'Staff &amp; Personnel Expenses'!K49</f>
        <v>3</v>
      </c>
      <c r="K37" s="62">
        <f>+'Staff &amp; Personnel Expenses'!L49</f>
        <v>3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0" t="str">
        <f>+'Staff &amp; Personnel Expenses'!A50</f>
        <v>8th Grade</v>
      </c>
      <c r="B38" s="62">
        <f>+'Staff &amp; Personnel Expenses'!C50</f>
        <v>0</v>
      </c>
      <c r="C38" s="62">
        <f>+'Staff &amp; Personnel Expenses'!D50</f>
        <v>0</v>
      </c>
      <c r="D38" s="62">
        <f>+'Staff &amp; Personnel Expenses'!E50</f>
        <v>3</v>
      </c>
      <c r="E38" s="62">
        <f>+'Staff &amp; Personnel Expenses'!F50</f>
        <v>3</v>
      </c>
      <c r="F38" s="62">
        <f>+'Staff &amp; Personnel Expenses'!G50</f>
        <v>3</v>
      </c>
      <c r="G38" s="62">
        <f>+'Staff &amp; Personnel Expenses'!H50</f>
        <v>3</v>
      </c>
      <c r="H38" s="62">
        <f>+'Staff &amp; Personnel Expenses'!I50</f>
        <v>3</v>
      </c>
      <c r="I38" s="62">
        <f>+'Staff &amp; Personnel Expenses'!J50</f>
        <v>3</v>
      </c>
      <c r="J38" s="62">
        <f>+'Staff &amp; Personnel Expenses'!K50</f>
        <v>3</v>
      </c>
      <c r="K38" s="62">
        <f>+'Staff &amp; Personnel Expenses'!L50</f>
        <v>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36" t="str">
        <f>+'Staff &amp; Personnel Expenses'!A55</f>
        <v>Total Instructional Staff, FTE</v>
      </c>
      <c r="B39" s="38">
        <f>+'Staff &amp; Personnel Expenses'!C55</f>
        <v>11</v>
      </c>
      <c r="C39" s="38">
        <f>+'Staff &amp; Personnel Expenses'!D55</f>
        <v>18</v>
      </c>
      <c r="D39" s="38">
        <f>+'Staff &amp; Personnel Expenses'!E55</f>
        <v>23</v>
      </c>
      <c r="E39" s="38">
        <f>+'Staff &amp; Personnel Expenses'!F55</f>
        <v>33</v>
      </c>
      <c r="F39" s="38">
        <f>+'Staff &amp; Personnel Expenses'!G55</f>
        <v>42</v>
      </c>
      <c r="G39" s="38">
        <f>+'Staff &amp; Personnel Expenses'!H55</f>
        <v>48</v>
      </c>
      <c r="H39" s="38">
        <f>+'Staff &amp; Personnel Expenses'!I55</f>
        <v>54</v>
      </c>
      <c r="I39" s="38">
        <f>+'Staff &amp; Personnel Expenses'!J55</f>
        <v>54</v>
      </c>
      <c r="J39" s="38">
        <f>+'Staff &amp; Personnel Expenses'!K55</f>
        <v>54</v>
      </c>
      <c r="K39" s="38">
        <f>+'Staff &amp; Personnel Expenses'!L55</f>
        <v>54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130" t="str">
        <f>+'Staff &amp; Personnel Expenses'!A56</f>
        <v>Inst. FTE per MS Classroom</v>
      </c>
      <c r="B40" s="368">
        <f>+'Staff &amp; Personnel Expenses'!C56</f>
        <v>1</v>
      </c>
      <c r="C40" s="368">
        <f>+'Staff &amp; Personnel Expenses'!D56</f>
        <v>1</v>
      </c>
      <c r="D40" s="368">
        <f>+'Staff &amp; Personnel Expenses'!E56</f>
        <v>1</v>
      </c>
      <c r="E40" s="368">
        <f>+'Staff &amp; Personnel Expenses'!F56</f>
        <v>1</v>
      </c>
      <c r="F40" s="368">
        <f>+'Staff &amp; Personnel Expenses'!G56</f>
        <v>1</v>
      </c>
      <c r="G40" s="368">
        <f>+'Staff &amp; Personnel Expenses'!H56</f>
        <v>1</v>
      </c>
      <c r="H40" s="368">
        <f>+'Staff &amp; Personnel Expenses'!I56</f>
        <v>1</v>
      </c>
      <c r="I40" s="368">
        <f>+'Staff &amp; Personnel Expenses'!J56</f>
        <v>1</v>
      </c>
      <c r="J40" s="368">
        <f>+'Staff &amp; Personnel Expenses'!K56</f>
        <v>1</v>
      </c>
      <c r="K40" s="368">
        <f>+'Staff &amp; Personnel Expenses'!L56</f>
        <v>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130" t="str">
        <f>+'Staff &amp; Personnel Expenses'!A57</f>
        <v>Inst. FTE per HS Classroom</v>
      </c>
      <c r="B41" s="368">
        <f>+'Staff &amp; Personnel Expenses'!C57</f>
        <v>1</v>
      </c>
      <c r="C41" s="368">
        <f>+'Staff &amp; Personnel Expenses'!D57</f>
        <v>1</v>
      </c>
      <c r="D41" s="368">
        <f>+'Staff &amp; Personnel Expenses'!E57</f>
        <v>1</v>
      </c>
      <c r="E41" s="368">
        <f>+'Staff &amp; Personnel Expenses'!F57</f>
        <v>1</v>
      </c>
      <c r="F41" s="368">
        <f>+'Staff &amp; Personnel Expenses'!G57</f>
        <v>1</v>
      </c>
      <c r="G41" s="368">
        <f>+'Staff &amp; Personnel Expenses'!H57</f>
        <v>1</v>
      </c>
      <c r="H41" s="368">
        <f>+'Staff &amp; Personnel Expenses'!I57</f>
        <v>1</v>
      </c>
      <c r="I41" s="368">
        <f>+'Staff &amp; Personnel Expenses'!J57</f>
        <v>1</v>
      </c>
      <c r="J41" s="368">
        <f>+'Staff &amp; Personnel Expenses'!K57</f>
        <v>1</v>
      </c>
      <c r="K41" s="368">
        <f>+'Staff &amp; Personnel Expenses'!L57</f>
        <v>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29" t="str">
        <f>+'Staff &amp; Personnel Expenses'!A58</f>
        <v>Students per Instructional FTE</v>
      </c>
      <c r="B42" s="134">
        <f>+'Staff &amp; Personnel Expenses'!C58</f>
        <v>10</v>
      </c>
      <c r="C42" s="134">
        <f>+'Staff &amp; Personnel Expenses'!D58</f>
        <v>12.66666667</v>
      </c>
      <c r="D42" s="134">
        <f>+'Staff &amp; Personnel Expenses'!E58</f>
        <v>13.43478261</v>
      </c>
      <c r="E42" s="134">
        <f>+'Staff &amp; Personnel Expenses'!F58</f>
        <v>12.09090909</v>
      </c>
      <c r="F42" s="134">
        <f>+'Staff &amp; Personnel Expenses'!G58</f>
        <v>11.64285714</v>
      </c>
      <c r="G42" s="134">
        <f>+'Staff &amp; Personnel Expenses'!H58</f>
        <v>12.0625</v>
      </c>
      <c r="H42" s="134">
        <f>+'Staff &amp; Personnel Expenses'!I58</f>
        <v>12.38888889</v>
      </c>
      <c r="I42" s="134">
        <f>+'Staff &amp; Personnel Expenses'!J58</f>
        <v>12.38888889</v>
      </c>
      <c r="J42" s="134">
        <f>+'Staff &amp; Personnel Expenses'!K58</f>
        <v>12.38888889</v>
      </c>
      <c r="K42" s="134">
        <f>+'Staff &amp; Personnel Expenses'!L58</f>
        <v>12.38888889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2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48" t="s">
        <v>366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12" t="s">
        <v>367</v>
      </c>
      <c r="B45" s="170">
        <f>'Staff &amp; Personnel Expenses'!C99*'Staff &amp; Personnel Expenses'!C98</f>
        <v>7011</v>
      </c>
      <c r="C45" s="170">
        <f>'Staff &amp; Personnel Expenses'!D99*'Staff &amp; Personnel Expenses'!D98</f>
        <v>7151.22</v>
      </c>
      <c r="D45" s="170">
        <f>'Staff &amp; Personnel Expenses'!E99*'Staff &amp; Personnel Expenses'!E98</f>
        <v>7294.2444</v>
      </c>
      <c r="E45" s="170">
        <f>'Staff &amp; Personnel Expenses'!F99*'Staff &amp; Personnel Expenses'!F98</f>
        <v>7440.129288</v>
      </c>
      <c r="F45" s="170">
        <f>'Staff &amp; Personnel Expenses'!G99*'Staff &amp; Personnel Expenses'!G98</f>
        <v>7588.931874</v>
      </c>
      <c r="G45" s="170">
        <f>'Staff &amp; Personnel Expenses'!H99*'Staff &amp; Personnel Expenses'!H98</f>
        <v>7740.710511</v>
      </c>
      <c r="H45" s="170">
        <f>'Staff &amp; Personnel Expenses'!I99*'Staff &amp; Personnel Expenses'!I98</f>
        <v>7895.524721</v>
      </c>
      <c r="I45" s="170">
        <f>'Staff &amp; Personnel Expenses'!J99*'Staff &amp; Personnel Expenses'!J98</f>
        <v>8053.435216</v>
      </c>
      <c r="J45" s="170">
        <f>'Staff &amp; Personnel Expenses'!K99*'Staff &amp; Personnel Expenses'!K98</f>
        <v>8214.50392</v>
      </c>
      <c r="K45" s="170">
        <f>'Staff &amp; Personnel Expenses'!L99*'Staff &amp; Personnel Expenses'!L98</f>
        <v>8378.793999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12" t="s">
        <v>368</v>
      </c>
      <c r="B46" s="62">
        <f>'Staff &amp; Personnel Expenses'!C101*'Staff &amp; Personnel Expenses'!C98</f>
        <v>11529.4374</v>
      </c>
      <c r="C46" s="62">
        <f>'Staff &amp; Personnel Expenses'!D101*'Staff &amp; Personnel Expenses'!D98</f>
        <v>11760.02615</v>
      </c>
      <c r="D46" s="62">
        <f>'Staff &amp; Personnel Expenses'!E101*'Staff &amp; Personnel Expenses'!E98</f>
        <v>11995.22667</v>
      </c>
      <c r="E46" s="62">
        <f>'Staff &amp; Personnel Expenses'!F101*'Staff &amp; Personnel Expenses'!F98</f>
        <v>12235.1312</v>
      </c>
      <c r="F46" s="62">
        <f>'Staff &amp; Personnel Expenses'!G101*'Staff &amp; Personnel Expenses'!G98</f>
        <v>12479.83383</v>
      </c>
      <c r="G46" s="62">
        <f>'Staff &amp; Personnel Expenses'!H101*'Staff &amp; Personnel Expenses'!H98</f>
        <v>12729.43051</v>
      </c>
      <c r="H46" s="62">
        <f>'Staff &amp; Personnel Expenses'!I101*'Staff &amp; Personnel Expenses'!I98</f>
        <v>12984.01912</v>
      </c>
      <c r="I46" s="62">
        <f>'Staff &amp; Personnel Expenses'!J101*'Staff &amp; Personnel Expenses'!J98</f>
        <v>13243.6995</v>
      </c>
      <c r="J46" s="62">
        <f>'Staff &amp; Personnel Expenses'!K101*'Staff &amp; Personnel Expenses'!K98</f>
        <v>13508.57349</v>
      </c>
      <c r="K46" s="62">
        <f>'Staff &amp; Personnel Expenses'!L101*'Staff &amp; Personnel Expenses'!L98</f>
        <v>13778.74496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2" t="s">
        <v>369</v>
      </c>
      <c r="B47" s="62">
        <f>'Staff &amp; Personnel Expenses'!C103*'Staff &amp; Personnel Expenses'!C98</f>
        <v>15236.3214</v>
      </c>
      <c r="C47" s="62">
        <f>'Staff &amp; Personnel Expenses'!D103*'Staff &amp; Personnel Expenses'!D98</f>
        <v>15541.04783</v>
      </c>
      <c r="D47" s="62">
        <f>'Staff &amp; Personnel Expenses'!E103*'Staff &amp; Personnel Expenses'!E98</f>
        <v>15851.86878</v>
      </c>
      <c r="E47" s="62">
        <f>'Staff &amp; Personnel Expenses'!F103*'Staff &amp; Personnel Expenses'!F98</f>
        <v>16168.90616</v>
      </c>
      <c r="F47" s="62">
        <f>'Staff &amp; Personnel Expenses'!G103*'Staff &amp; Personnel Expenses'!G98</f>
        <v>16492.28428</v>
      </c>
      <c r="G47" s="62">
        <f>'Staff &amp; Personnel Expenses'!H103*'Staff &amp; Personnel Expenses'!H98</f>
        <v>16822.12997</v>
      </c>
      <c r="H47" s="62">
        <f>'Staff &amp; Personnel Expenses'!I103*'Staff &amp; Personnel Expenses'!I98</f>
        <v>17158.57257</v>
      </c>
      <c r="I47" s="62">
        <f>'Staff &amp; Personnel Expenses'!J103*'Staff &amp; Personnel Expenses'!J98</f>
        <v>17501.74402</v>
      </c>
      <c r="J47" s="62">
        <f>'Staff &amp; Personnel Expenses'!K103*'Staff &amp; Personnel Expenses'!K98</f>
        <v>17851.7789</v>
      </c>
      <c r="K47" s="62">
        <f>'Staff &amp; Personnel Expenses'!L103*'Staff &amp; Personnel Expenses'!L98</f>
        <v>18208.81448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2" t="s">
        <v>370</v>
      </c>
      <c r="B48" s="62">
        <f>'Staff &amp; Personnel Expenses'!C105*'Staff &amp; Personnel Expenses'!C98</f>
        <v>18498.9852</v>
      </c>
      <c r="C48" s="62">
        <f>'Staff &amp; Personnel Expenses'!D105*'Staff &amp; Personnel Expenses'!D98</f>
        <v>18868.9649</v>
      </c>
      <c r="D48" s="62">
        <f>'Staff &amp; Personnel Expenses'!E105*'Staff &amp; Personnel Expenses'!E98</f>
        <v>19246.3442</v>
      </c>
      <c r="E48" s="62">
        <f>'Staff &amp; Personnel Expenses'!F105*'Staff &amp; Personnel Expenses'!F98</f>
        <v>19631.27109</v>
      </c>
      <c r="F48" s="62">
        <f>'Staff &amp; Personnel Expenses'!G105*'Staff &amp; Personnel Expenses'!G98</f>
        <v>20023.89651</v>
      </c>
      <c r="G48" s="62">
        <f>'Staff &amp; Personnel Expenses'!H105*'Staff &amp; Personnel Expenses'!H98</f>
        <v>20424.37444</v>
      </c>
      <c r="H48" s="62">
        <f>'Staff &amp; Personnel Expenses'!I105*'Staff &amp; Personnel Expenses'!I98</f>
        <v>20832.86193</v>
      </c>
      <c r="I48" s="62">
        <f>'Staff &amp; Personnel Expenses'!J105*'Staff &amp; Personnel Expenses'!J98</f>
        <v>21249.51917</v>
      </c>
      <c r="J48" s="62">
        <f>'Staff &amp; Personnel Expenses'!K105*'Staff &amp; Personnel Expenses'!K98</f>
        <v>21674.50955</v>
      </c>
      <c r="K48" s="62">
        <f>'Staff &amp; Personnel Expenses'!L105*'Staff &amp; Personnel Expenses'!L98</f>
        <v>22107.99974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369" t="s">
        <v>371</v>
      </c>
      <c r="B49" s="370">
        <v>0.0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45" t="s">
        <v>372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 t="s">
        <v>361</v>
      </c>
      <c r="B52" s="28">
        <f t="shared" ref="B52:K52" si="9">+B17</f>
        <v>715000</v>
      </c>
      <c r="C52" s="28">
        <f t="shared" si="9"/>
        <v>1193400</v>
      </c>
      <c r="D52" s="28">
        <f t="shared" si="9"/>
        <v>1555398</v>
      </c>
      <c r="E52" s="28">
        <f t="shared" si="9"/>
        <v>2276291.16</v>
      </c>
      <c r="F52" s="28">
        <f t="shared" si="9"/>
        <v>2955039.797</v>
      </c>
      <c r="G52" s="28">
        <f t="shared" si="9"/>
        <v>3444732.106</v>
      </c>
      <c r="H52" s="28">
        <f t="shared" si="9"/>
        <v>3952830.092</v>
      </c>
      <c r="I52" s="28">
        <f t="shared" si="9"/>
        <v>4031886.693</v>
      </c>
      <c r="J52" s="28">
        <f t="shared" si="9"/>
        <v>4112524.427</v>
      </c>
      <c r="K52" s="28">
        <f t="shared" si="9"/>
        <v>4194774.916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 t="s">
        <v>373</v>
      </c>
      <c r="B53" s="28">
        <f>B61+B65+B69+B73+B77+B81+B85+B91+B95+B99+B103+B107+B111+B115+B121+B125+B129+B135+B139+B143+B147+B151+B157+B161+B165+B169+B173+B177+B183+B187+B191+B195+B199+B203+B209+B213+B217+B221+B225+B229+B235+B239+B243+B247+B253+B257+B261+B265+B271+B275+B279+B283</f>
        <v>703000</v>
      </c>
      <c r="C53" s="28" t="str">
        <f t="shared" ref="C53:K53" si="10">C61+C65+C69+C73+C77+C81+C85+C91+C103+C107+C111+C115+C121+C125+C129+#REF!+#REF!+#REF!+C135+C139+C143+#REF!+C147+C151+C157+C161+C165+C169+C173+C177+C183+C187+C191+C195+C199+C203+C209+C213+C217+C221+C225+C229+C235+C239+C243+C247+C253+C257+C261+C265+C271+C275+C279+C283+#REF!+#REF!+#REF!+#REF!</f>
        <v>#REF!</v>
      </c>
      <c r="D53" s="28" t="str">
        <f t="shared" si="10"/>
        <v>#REF!</v>
      </c>
      <c r="E53" s="28" t="str">
        <f t="shared" si="10"/>
        <v>#REF!</v>
      </c>
      <c r="F53" s="28" t="str">
        <f t="shared" si="10"/>
        <v>#REF!</v>
      </c>
      <c r="G53" s="28" t="str">
        <f t="shared" si="10"/>
        <v>#REF!</v>
      </c>
      <c r="H53" s="28" t="str">
        <f t="shared" si="10"/>
        <v>#REF!</v>
      </c>
      <c r="I53" s="28" t="str">
        <f t="shared" si="10"/>
        <v>#REF!</v>
      </c>
      <c r="J53" s="28" t="str">
        <f t="shared" si="10"/>
        <v>#REF!</v>
      </c>
      <c r="K53" s="28" t="str">
        <f t="shared" si="10"/>
        <v>#REF!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29" t="s">
        <v>374</v>
      </c>
      <c r="B54" s="182">
        <f t="shared" ref="B54:K54" si="11">ROUND(B53-B52,0)</f>
        <v>-12000</v>
      </c>
      <c r="C54" s="182" t="str">
        <f t="shared" si="11"/>
        <v>#REF!</v>
      </c>
      <c r="D54" s="182" t="str">
        <f t="shared" si="11"/>
        <v>#REF!</v>
      </c>
      <c r="E54" s="182" t="str">
        <f t="shared" si="11"/>
        <v>#REF!</v>
      </c>
      <c r="F54" s="182" t="str">
        <f t="shared" si="11"/>
        <v>#REF!</v>
      </c>
      <c r="G54" s="182" t="str">
        <f t="shared" si="11"/>
        <v>#REF!</v>
      </c>
      <c r="H54" s="182" t="str">
        <f t="shared" si="11"/>
        <v>#REF!</v>
      </c>
      <c r="I54" s="182" t="str">
        <f t="shared" si="11"/>
        <v>#REF!</v>
      </c>
      <c r="J54" s="182" t="str">
        <f t="shared" si="11"/>
        <v>#REF!</v>
      </c>
      <c r="K54" s="182" t="str">
        <f t="shared" si="11"/>
        <v>#REF!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 t="s">
        <v>363</v>
      </c>
      <c r="B56" s="28">
        <f t="shared" ref="B56:K56" si="12">+B21</f>
        <v>84946.54658</v>
      </c>
      <c r="C56" s="28">
        <f t="shared" si="12"/>
        <v>228246.8944</v>
      </c>
      <c r="D56" s="28">
        <f t="shared" si="12"/>
        <v>297481.7857</v>
      </c>
      <c r="E56" s="28">
        <f t="shared" si="12"/>
        <v>435358.1263</v>
      </c>
      <c r="F56" s="28">
        <f t="shared" si="12"/>
        <v>565174.004</v>
      </c>
      <c r="G56" s="28">
        <f t="shared" si="12"/>
        <v>658831.4104</v>
      </c>
      <c r="H56" s="28">
        <f t="shared" si="12"/>
        <v>756009.0434</v>
      </c>
      <c r="I56" s="28">
        <f t="shared" si="12"/>
        <v>771129.2243</v>
      </c>
      <c r="J56" s="28">
        <f t="shared" si="12"/>
        <v>786551.8088</v>
      </c>
      <c r="K56" s="28">
        <f t="shared" si="12"/>
        <v>802282.845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 t="s">
        <v>373</v>
      </c>
      <c r="B57" s="28">
        <f>B63+B67+B71+B75+B79+B83+B87+B93+B105+B109+B113+B117+B123+B127+B131+B137+B141+B145+B149+B153+B159+B163+B167+B171+B175+B179+B185+B189+B193+B197+B201+B205+B211+B215+B219+B223+B227+B231+B237+B241+B245+B249+B255+B259+B263+B267+B273+B277+B281+B285</f>
        <v>96728.9346</v>
      </c>
      <c r="C57" s="28" t="str">
        <f t="shared" ref="C57:K57" si="13">C63+C67+C71+C75+C79+C83+C87+C93+C105+C109+C113+C117+C123+C127+C131+#REF!+#REF!+#REF!+C137+C141+C145+#REF!+C149+C153+C159+C163+C167+C171+C175+C179+C185+C189+C193+C197+C201+C205+C211+C215+C219+C223+C227+C231+C237+C241+C245+C249+C255+C259+C263+C267+C273+C277+C281+C285+#REF!+#REF!+#REF!+#REF!</f>
        <v>#REF!</v>
      </c>
      <c r="D57" s="28" t="str">
        <f t="shared" si="13"/>
        <v>#REF!</v>
      </c>
      <c r="E57" s="28" t="str">
        <f t="shared" si="13"/>
        <v>#REF!</v>
      </c>
      <c r="F57" s="28" t="str">
        <f t="shared" si="13"/>
        <v>#REF!</v>
      </c>
      <c r="G57" s="28" t="str">
        <f t="shared" si="13"/>
        <v>#REF!</v>
      </c>
      <c r="H57" s="28" t="str">
        <f t="shared" si="13"/>
        <v>#REF!</v>
      </c>
      <c r="I57" s="28" t="str">
        <f t="shared" si="13"/>
        <v>#REF!</v>
      </c>
      <c r="J57" s="28" t="str">
        <f t="shared" si="13"/>
        <v>#REF!</v>
      </c>
      <c r="K57" s="28" t="str">
        <f t="shared" si="13"/>
        <v>#REF!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29" t="s">
        <v>374</v>
      </c>
      <c r="B58" s="182">
        <f t="shared" ref="B58:K58" si="14">ROUND(B57-B56,0)</f>
        <v>11782</v>
      </c>
      <c r="C58" s="182" t="str">
        <f t="shared" si="14"/>
        <v>#REF!</v>
      </c>
      <c r="D58" s="182" t="str">
        <f t="shared" si="14"/>
        <v>#REF!</v>
      </c>
      <c r="E58" s="182" t="str">
        <f t="shared" si="14"/>
        <v>#REF!</v>
      </c>
      <c r="F58" s="182" t="str">
        <f t="shared" si="14"/>
        <v>#REF!</v>
      </c>
      <c r="G58" s="182" t="str">
        <f t="shared" si="14"/>
        <v>#REF!</v>
      </c>
      <c r="H58" s="182" t="str">
        <f t="shared" si="14"/>
        <v>#REF!</v>
      </c>
      <c r="I58" s="182" t="str">
        <f t="shared" si="14"/>
        <v>#REF!</v>
      </c>
      <c r="J58" s="182" t="str">
        <f t="shared" si="14"/>
        <v>#REF!</v>
      </c>
      <c r="K58" s="182" t="str">
        <f t="shared" si="14"/>
        <v>#REF!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48" t="s">
        <v>375</v>
      </c>
      <c r="B60" s="13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 t="s">
        <v>376</v>
      </c>
      <c r="B61" s="85">
        <v>63000.0</v>
      </c>
      <c r="C61" s="86">
        <f t="shared" ref="C61:K61" si="15">B61*(1+C62)</f>
        <v>64260</v>
      </c>
      <c r="D61" s="86">
        <f t="shared" si="15"/>
        <v>65545.2</v>
      </c>
      <c r="E61" s="86">
        <f t="shared" si="15"/>
        <v>66856.104</v>
      </c>
      <c r="F61" s="86">
        <f t="shared" si="15"/>
        <v>68193.22608</v>
      </c>
      <c r="G61" s="86">
        <f t="shared" si="15"/>
        <v>69557.0906</v>
      </c>
      <c r="H61" s="86">
        <f t="shared" si="15"/>
        <v>70948.23241</v>
      </c>
      <c r="I61" s="86">
        <f t="shared" si="15"/>
        <v>72367.19706</v>
      </c>
      <c r="J61" s="86">
        <f t="shared" si="15"/>
        <v>73814.541</v>
      </c>
      <c r="K61" s="86">
        <f t="shared" si="15"/>
        <v>75290.83182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29" t="s">
        <v>61</v>
      </c>
      <c r="B62" s="83"/>
      <c r="C62" s="83">
        <v>0.02</v>
      </c>
      <c r="D62" s="83">
        <v>0.02</v>
      </c>
      <c r="E62" s="83">
        <v>0.02</v>
      </c>
      <c r="F62" s="83">
        <v>0.02</v>
      </c>
      <c r="G62" s="83">
        <v>0.02</v>
      </c>
      <c r="H62" s="83">
        <v>0.02</v>
      </c>
      <c r="I62" s="83">
        <v>0.02</v>
      </c>
      <c r="J62" s="83">
        <v>0.02</v>
      </c>
      <c r="K62" s="83">
        <v>0.02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29" t="s">
        <v>377</v>
      </c>
      <c r="B63" s="182">
        <f t="shared" ref="B63:K63" si="16">CHOOSE(B64,B$45,B$46,B$47,B$48)</f>
        <v>7011</v>
      </c>
      <c r="C63" s="182">
        <f t="shared" si="16"/>
        <v>15541.04783</v>
      </c>
      <c r="D63" s="182">
        <f t="shared" si="16"/>
        <v>15851.86878</v>
      </c>
      <c r="E63" s="182">
        <f t="shared" si="16"/>
        <v>16168.90616</v>
      </c>
      <c r="F63" s="182">
        <f t="shared" si="16"/>
        <v>16492.28428</v>
      </c>
      <c r="G63" s="182">
        <f t="shared" si="16"/>
        <v>16822.12997</v>
      </c>
      <c r="H63" s="182">
        <f t="shared" si="16"/>
        <v>17158.57257</v>
      </c>
      <c r="I63" s="182">
        <f t="shared" si="16"/>
        <v>17501.74402</v>
      </c>
      <c r="J63" s="182">
        <f t="shared" si="16"/>
        <v>17851.7789</v>
      </c>
      <c r="K63" s="182">
        <f t="shared" si="16"/>
        <v>18208.81448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63" t="s">
        <v>378</v>
      </c>
      <c r="B64" s="371">
        <v>1.0</v>
      </c>
      <c r="C64" s="372">
        <v>3.0</v>
      </c>
      <c r="D64" s="372">
        <v>3.0</v>
      </c>
      <c r="E64" s="372">
        <v>3.0</v>
      </c>
      <c r="F64" s="372">
        <v>3.0</v>
      </c>
      <c r="G64" s="372">
        <v>3.0</v>
      </c>
      <c r="H64" s="372">
        <v>3.0</v>
      </c>
      <c r="I64" s="372">
        <v>3.0</v>
      </c>
      <c r="J64" s="372">
        <v>3.0</v>
      </c>
      <c r="K64" s="372">
        <v>3.0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373" t="s">
        <v>379</v>
      </c>
      <c r="B65" s="374">
        <v>58000.0</v>
      </c>
      <c r="C65" s="375">
        <f t="shared" ref="C65:K65" si="17">B65*(1+C66)</f>
        <v>59160</v>
      </c>
      <c r="D65" s="375">
        <f t="shared" si="17"/>
        <v>60343.2</v>
      </c>
      <c r="E65" s="375">
        <f t="shared" si="17"/>
        <v>61550.064</v>
      </c>
      <c r="F65" s="375">
        <f t="shared" si="17"/>
        <v>62781.06528</v>
      </c>
      <c r="G65" s="375">
        <f t="shared" si="17"/>
        <v>64036.68659</v>
      </c>
      <c r="H65" s="375">
        <f t="shared" si="17"/>
        <v>65317.42032</v>
      </c>
      <c r="I65" s="375">
        <f t="shared" si="17"/>
        <v>66623.76872</v>
      </c>
      <c r="J65" s="375">
        <f t="shared" si="17"/>
        <v>67956.2441</v>
      </c>
      <c r="K65" s="375">
        <f t="shared" si="17"/>
        <v>69315.36898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376" t="s">
        <v>61</v>
      </c>
      <c r="B66" s="377"/>
      <c r="C66" s="377">
        <v>0.02</v>
      </c>
      <c r="D66" s="377">
        <v>0.02</v>
      </c>
      <c r="E66" s="377">
        <v>0.02</v>
      </c>
      <c r="F66" s="377">
        <v>0.02</v>
      </c>
      <c r="G66" s="377">
        <v>0.02</v>
      </c>
      <c r="H66" s="377">
        <v>0.02</v>
      </c>
      <c r="I66" s="377">
        <v>0.02</v>
      </c>
      <c r="J66" s="377">
        <v>0.02</v>
      </c>
      <c r="K66" s="377">
        <v>0.02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376" t="s">
        <v>377</v>
      </c>
      <c r="B67" s="378">
        <f>CHOOSE(B68,B$45,B$46,B$47,B$48, B$49)</f>
        <v>0</v>
      </c>
      <c r="C67" s="378">
        <f t="shared" ref="C67:K67" si="18">CHOOSE(C68,C$45,C$46,C$47,C$48)</f>
        <v>7151.22</v>
      </c>
      <c r="D67" s="378">
        <f t="shared" si="18"/>
        <v>7294.2444</v>
      </c>
      <c r="E67" s="378">
        <f t="shared" si="18"/>
        <v>7440.129288</v>
      </c>
      <c r="F67" s="378">
        <f t="shared" si="18"/>
        <v>7588.931874</v>
      </c>
      <c r="G67" s="378">
        <f t="shared" si="18"/>
        <v>7740.710511</v>
      </c>
      <c r="H67" s="378">
        <f t="shared" si="18"/>
        <v>7895.524721</v>
      </c>
      <c r="I67" s="378">
        <f t="shared" si="18"/>
        <v>8053.435216</v>
      </c>
      <c r="J67" s="378">
        <f t="shared" si="18"/>
        <v>8214.50392</v>
      </c>
      <c r="K67" s="378">
        <f t="shared" si="18"/>
        <v>8378.793999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379" t="s">
        <v>378</v>
      </c>
      <c r="B68" s="380">
        <v>5.0</v>
      </c>
      <c r="C68" s="381">
        <v>1.0</v>
      </c>
      <c r="D68" s="381">
        <v>1.0</v>
      </c>
      <c r="E68" s="381">
        <v>1.0</v>
      </c>
      <c r="F68" s="381">
        <v>1.0</v>
      </c>
      <c r="G68" s="381">
        <v>1.0</v>
      </c>
      <c r="H68" s="381">
        <v>1.0</v>
      </c>
      <c r="I68" s="381">
        <v>1.0</v>
      </c>
      <c r="J68" s="381">
        <v>1.0</v>
      </c>
      <c r="K68" s="381">
        <v>1.0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 t="s">
        <v>380</v>
      </c>
      <c r="B69" s="91"/>
      <c r="C69" s="382">
        <v>56100.0</v>
      </c>
      <c r="D69" s="86">
        <f t="shared" ref="D69:K69" si="19">C69*(1+D70)</f>
        <v>57222</v>
      </c>
      <c r="E69" s="86">
        <f t="shared" si="19"/>
        <v>58366.44</v>
      </c>
      <c r="F69" s="86">
        <f t="shared" si="19"/>
        <v>59533.7688</v>
      </c>
      <c r="G69" s="86">
        <f t="shared" si="19"/>
        <v>60724.44418</v>
      </c>
      <c r="H69" s="86">
        <f t="shared" si="19"/>
        <v>61938.93306</v>
      </c>
      <c r="I69" s="86">
        <f t="shared" si="19"/>
        <v>63177.71172</v>
      </c>
      <c r="J69" s="86">
        <f t="shared" si="19"/>
        <v>64441.26596</v>
      </c>
      <c r="K69" s="86">
        <f t="shared" si="19"/>
        <v>65730.09127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29" t="s">
        <v>61</v>
      </c>
      <c r="B70" s="83"/>
      <c r="C70" s="83"/>
      <c r="D70" s="83">
        <v>0.02</v>
      </c>
      <c r="E70" s="83">
        <v>0.02</v>
      </c>
      <c r="F70" s="83">
        <v>0.02</v>
      </c>
      <c r="G70" s="83">
        <v>0.02</v>
      </c>
      <c r="H70" s="83">
        <v>0.02</v>
      </c>
      <c r="I70" s="83">
        <v>0.02</v>
      </c>
      <c r="J70" s="83">
        <v>0.02</v>
      </c>
      <c r="K70" s="83">
        <v>0.02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29" t="s">
        <v>377</v>
      </c>
      <c r="B71" s="182"/>
      <c r="C71" s="182">
        <f t="shared" ref="C71:K71" si="20">CHOOSE(C72,C$45,C$46,C$47,C$48)</f>
        <v>15541.04783</v>
      </c>
      <c r="D71" s="182">
        <f t="shared" si="20"/>
        <v>15851.86878</v>
      </c>
      <c r="E71" s="182">
        <f t="shared" si="20"/>
        <v>16168.90616</v>
      </c>
      <c r="F71" s="182">
        <f t="shared" si="20"/>
        <v>16492.28428</v>
      </c>
      <c r="G71" s="182">
        <f t="shared" si="20"/>
        <v>16822.12997</v>
      </c>
      <c r="H71" s="182">
        <f t="shared" si="20"/>
        <v>17158.57257</v>
      </c>
      <c r="I71" s="182">
        <f t="shared" si="20"/>
        <v>17501.74402</v>
      </c>
      <c r="J71" s="182">
        <f t="shared" si="20"/>
        <v>17851.7789</v>
      </c>
      <c r="K71" s="182">
        <f t="shared" si="20"/>
        <v>18208.81448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63" t="s">
        <v>378</v>
      </c>
      <c r="B72" s="372"/>
      <c r="C72" s="372">
        <v>3.0</v>
      </c>
      <c r="D72" s="372">
        <v>3.0</v>
      </c>
      <c r="E72" s="372">
        <v>3.0</v>
      </c>
      <c r="F72" s="372">
        <v>3.0</v>
      </c>
      <c r="G72" s="372">
        <v>3.0</v>
      </c>
      <c r="H72" s="372">
        <v>3.0</v>
      </c>
      <c r="I72" s="372">
        <v>3.0</v>
      </c>
      <c r="J72" s="372">
        <v>3.0</v>
      </c>
      <c r="K72" s="372">
        <v>3.0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373" t="s">
        <v>381</v>
      </c>
      <c r="B73" s="383"/>
      <c r="C73" s="375"/>
      <c r="D73" s="375"/>
      <c r="E73" s="375"/>
      <c r="F73" s="384">
        <f>F69</f>
        <v>59533.7688</v>
      </c>
      <c r="G73" s="375">
        <f t="shared" ref="G73:K73" si="21">F73*(1+G74)</f>
        <v>60724.44418</v>
      </c>
      <c r="H73" s="375">
        <f t="shared" si="21"/>
        <v>61938.93306</v>
      </c>
      <c r="I73" s="375">
        <f t="shared" si="21"/>
        <v>63177.71172</v>
      </c>
      <c r="J73" s="375">
        <f t="shared" si="21"/>
        <v>64441.26596</v>
      </c>
      <c r="K73" s="375">
        <f t="shared" si="21"/>
        <v>65730.09127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376" t="s">
        <v>61</v>
      </c>
      <c r="B74" s="377"/>
      <c r="C74" s="377"/>
      <c r="D74" s="377"/>
      <c r="E74" s="377"/>
      <c r="F74" s="377"/>
      <c r="G74" s="377">
        <v>0.02</v>
      </c>
      <c r="H74" s="377">
        <v>0.02</v>
      </c>
      <c r="I74" s="377">
        <v>0.02</v>
      </c>
      <c r="J74" s="377">
        <v>0.02</v>
      </c>
      <c r="K74" s="377">
        <v>0.02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376" t="s">
        <v>377</v>
      </c>
      <c r="B75" s="378"/>
      <c r="C75" s="378"/>
      <c r="D75" s="378"/>
      <c r="E75" s="378"/>
      <c r="F75" s="378">
        <f t="shared" ref="F75:K75" si="22">CHOOSE(F76,F$45,F$46,F$47,F$48)</f>
        <v>7588.931874</v>
      </c>
      <c r="G75" s="378">
        <f t="shared" si="22"/>
        <v>7740.710511</v>
      </c>
      <c r="H75" s="378">
        <f t="shared" si="22"/>
        <v>7895.524721</v>
      </c>
      <c r="I75" s="378">
        <f t="shared" si="22"/>
        <v>8053.435216</v>
      </c>
      <c r="J75" s="378">
        <f t="shared" si="22"/>
        <v>8214.50392</v>
      </c>
      <c r="K75" s="378">
        <f t="shared" si="22"/>
        <v>8378.793999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379" t="s">
        <v>378</v>
      </c>
      <c r="B76" s="381"/>
      <c r="C76" s="381"/>
      <c r="D76" s="381"/>
      <c r="E76" s="381"/>
      <c r="F76" s="381">
        <v>1.0</v>
      </c>
      <c r="G76" s="381">
        <v>1.0</v>
      </c>
      <c r="H76" s="381">
        <v>1.0</v>
      </c>
      <c r="I76" s="381">
        <v>1.0</v>
      </c>
      <c r="J76" s="381">
        <v>1.0</v>
      </c>
      <c r="K76" s="381">
        <v>1.0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 t="s">
        <v>382</v>
      </c>
      <c r="B77" s="91"/>
      <c r="C77" s="86"/>
      <c r="D77" s="86"/>
      <c r="E77" s="86"/>
      <c r="F77" s="385">
        <f>F73</f>
        <v>59533.7688</v>
      </c>
      <c r="G77" s="86">
        <f t="shared" ref="G77:K77" si="23">F77*(1+G78)</f>
        <v>60724.44418</v>
      </c>
      <c r="H77" s="86">
        <f t="shared" si="23"/>
        <v>61938.93306</v>
      </c>
      <c r="I77" s="86">
        <f t="shared" si="23"/>
        <v>63177.71172</v>
      </c>
      <c r="J77" s="86">
        <f t="shared" si="23"/>
        <v>64441.26596</v>
      </c>
      <c r="K77" s="86">
        <f t="shared" si="23"/>
        <v>65730.09127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29" t="s">
        <v>61</v>
      </c>
      <c r="B78" s="83"/>
      <c r="C78" s="83"/>
      <c r="D78" s="83"/>
      <c r="E78" s="83"/>
      <c r="F78" s="83"/>
      <c r="G78" s="83">
        <v>0.02</v>
      </c>
      <c r="H78" s="83">
        <v>0.02</v>
      </c>
      <c r="I78" s="83">
        <v>0.02</v>
      </c>
      <c r="J78" s="83">
        <v>0.02</v>
      </c>
      <c r="K78" s="83">
        <v>0.02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29" t="s">
        <v>377</v>
      </c>
      <c r="B79" s="182"/>
      <c r="C79" s="182"/>
      <c r="D79" s="182"/>
      <c r="E79" s="182"/>
      <c r="F79" s="182">
        <f t="shared" ref="F79:K79" si="24">CHOOSE(F80,F$45,F$46,F$47,F$48)</f>
        <v>7588.931874</v>
      </c>
      <c r="G79" s="182">
        <f t="shared" si="24"/>
        <v>7740.710511</v>
      </c>
      <c r="H79" s="182">
        <f t="shared" si="24"/>
        <v>7895.524721</v>
      </c>
      <c r="I79" s="182">
        <f t="shared" si="24"/>
        <v>8053.435216</v>
      </c>
      <c r="J79" s="182">
        <f t="shared" si="24"/>
        <v>8214.50392</v>
      </c>
      <c r="K79" s="182">
        <f t="shared" si="24"/>
        <v>8378.793999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63" t="s">
        <v>378</v>
      </c>
      <c r="B80" s="372"/>
      <c r="C80" s="372"/>
      <c r="D80" s="372"/>
      <c r="E80" s="372"/>
      <c r="F80" s="372">
        <v>1.0</v>
      </c>
      <c r="G80" s="372">
        <v>1.0</v>
      </c>
      <c r="H80" s="372">
        <v>1.0</v>
      </c>
      <c r="I80" s="372">
        <v>1.0</v>
      </c>
      <c r="J80" s="372">
        <v>1.0</v>
      </c>
      <c r="K80" s="372">
        <v>1.0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373" t="s">
        <v>383</v>
      </c>
      <c r="B81" s="383"/>
      <c r="C81" s="375"/>
      <c r="D81" s="375"/>
      <c r="E81" s="375"/>
      <c r="F81" s="384">
        <f>F77</f>
        <v>59533.7688</v>
      </c>
      <c r="G81" s="375">
        <f t="shared" ref="G81:K81" si="25">F81*(1+G82)</f>
        <v>60724.44418</v>
      </c>
      <c r="H81" s="375">
        <f t="shared" si="25"/>
        <v>61938.93306</v>
      </c>
      <c r="I81" s="375">
        <f t="shared" si="25"/>
        <v>63177.71172</v>
      </c>
      <c r="J81" s="375">
        <f t="shared" si="25"/>
        <v>64441.26596</v>
      </c>
      <c r="K81" s="375">
        <f t="shared" si="25"/>
        <v>65730.09127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376" t="s">
        <v>61</v>
      </c>
      <c r="B82" s="377"/>
      <c r="C82" s="377"/>
      <c r="D82" s="377"/>
      <c r="E82" s="377"/>
      <c r="F82" s="377"/>
      <c r="G82" s="377">
        <v>0.02</v>
      </c>
      <c r="H82" s="377">
        <v>0.02</v>
      </c>
      <c r="I82" s="377">
        <v>0.02</v>
      </c>
      <c r="J82" s="377">
        <v>0.02</v>
      </c>
      <c r="K82" s="377">
        <v>0.02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376" t="s">
        <v>377</v>
      </c>
      <c r="B83" s="378"/>
      <c r="C83" s="378"/>
      <c r="D83" s="378"/>
      <c r="E83" s="378"/>
      <c r="F83" s="378">
        <f t="shared" ref="F83:K83" si="26">CHOOSE(F84,F$45,F$46,F$47,F$48)</f>
        <v>7588.931874</v>
      </c>
      <c r="G83" s="378">
        <f t="shared" si="26"/>
        <v>7740.710511</v>
      </c>
      <c r="H83" s="378">
        <f t="shared" si="26"/>
        <v>7895.524721</v>
      </c>
      <c r="I83" s="378">
        <f t="shared" si="26"/>
        <v>8053.435216</v>
      </c>
      <c r="J83" s="378">
        <f t="shared" si="26"/>
        <v>8214.50392</v>
      </c>
      <c r="K83" s="378">
        <f t="shared" si="26"/>
        <v>8378.793999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379" t="s">
        <v>378</v>
      </c>
      <c r="B84" s="381"/>
      <c r="C84" s="381"/>
      <c r="D84" s="381"/>
      <c r="E84" s="381"/>
      <c r="F84" s="381">
        <v>1.0</v>
      </c>
      <c r="G84" s="381">
        <v>1.0</v>
      </c>
      <c r="H84" s="381">
        <v>1.0</v>
      </c>
      <c r="I84" s="381">
        <v>1.0</v>
      </c>
      <c r="J84" s="381">
        <v>1.0</v>
      </c>
      <c r="K84" s="381">
        <v>1.0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 t="s">
        <v>384</v>
      </c>
      <c r="B85" s="91"/>
      <c r="C85" s="86"/>
      <c r="D85" s="86"/>
      <c r="E85" s="86"/>
      <c r="F85" s="385">
        <f>F81</f>
        <v>59533.7688</v>
      </c>
      <c r="G85" s="86">
        <f t="shared" ref="G85:K85" si="27">F85*(1+G86)</f>
        <v>60724.44418</v>
      </c>
      <c r="H85" s="86">
        <f t="shared" si="27"/>
        <v>61938.93306</v>
      </c>
      <c r="I85" s="86">
        <f t="shared" si="27"/>
        <v>63177.71172</v>
      </c>
      <c r="J85" s="86">
        <f t="shared" si="27"/>
        <v>64441.26596</v>
      </c>
      <c r="K85" s="86">
        <f t="shared" si="27"/>
        <v>65730.09127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29" t="s">
        <v>61</v>
      </c>
      <c r="B86" s="83"/>
      <c r="C86" s="83"/>
      <c r="D86" s="83"/>
      <c r="E86" s="83"/>
      <c r="F86" s="83"/>
      <c r="G86" s="83">
        <v>0.02</v>
      </c>
      <c r="H86" s="83">
        <v>0.02</v>
      </c>
      <c r="I86" s="83">
        <v>0.02</v>
      </c>
      <c r="J86" s="83">
        <v>0.02</v>
      </c>
      <c r="K86" s="83">
        <v>0.02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29" t="s">
        <v>377</v>
      </c>
      <c r="B87" s="182"/>
      <c r="C87" s="182"/>
      <c r="D87" s="182"/>
      <c r="E87" s="182"/>
      <c r="F87" s="182">
        <f t="shared" ref="F87:K87" si="28">CHOOSE(F88,F$45,F$46,F$47,F$48)</f>
        <v>7588.931874</v>
      </c>
      <c r="G87" s="182">
        <f t="shared" si="28"/>
        <v>7740.710511</v>
      </c>
      <c r="H87" s="182">
        <f t="shared" si="28"/>
        <v>7895.524721</v>
      </c>
      <c r="I87" s="182">
        <f t="shared" si="28"/>
        <v>8053.435216</v>
      </c>
      <c r="J87" s="182">
        <f t="shared" si="28"/>
        <v>8214.50392</v>
      </c>
      <c r="K87" s="182">
        <f t="shared" si="28"/>
        <v>8378.793999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63" t="s">
        <v>378</v>
      </c>
      <c r="B88" s="372"/>
      <c r="C88" s="372"/>
      <c r="D88" s="372"/>
      <c r="E88" s="372"/>
      <c r="F88" s="372">
        <v>1.0</v>
      </c>
      <c r="G88" s="372">
        <v>1.0</v>
      </c>
      <c r="H88" s="372">
        <v>1.0</v>
      </c>
      <c r="I88" s="372">
        <v>1.0</v>
      </c>
      <c r="J88" s="372">
        <v>1.0</v>
      </c>
      <c r="K88" s="372">
        <v>1.0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9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48" t="s">
        <v>385</v>
      </c>
      <c r="B90" s="137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 t="s">
        <v>386</v>
      </c>
      <c r="B91" s="85">
        <v>65000.0</v>
      </c>
      <c r="C91" s="86">
        <f t="shared" ref="C91:K91" si="29">B91*(1+C92)</f>
        <v>66300</v>
      </c>
      <c r="D91" s="86">
        <f t="shared" si="29"/>
        <v>67626</v>
      </c>
      <c r="E91" s="86">
        <f t="shared" si="29"/>
        <v>68978.52</v>
      </c>
      <c r="F91" s="86">
        <f t="shared" si="29"/>
        <v>70358.0904</v>
      </c>
      <c r="G91" s="86">
        <f t="shared" si="29"/>
        <v>71765.25221</v>
      </c>
      <c r="H91" s="86">
        <f t="shared" si="29"/>
        <v>73200.55725</v>
      </c>
      <c r="I91" s="86">
        <f t="shared" si="29"/>
        <v>74664.5684</v>
      </c>
      <c r="J91" s="86">
        <f t="shared" si="29"/>
        <v>76157.85977</v>
      </c>
      <c r="K91" s="86">
        <f t="shared" si="29"/>
        <v>77681.01696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29" t="s">
        <v>61</v>
      </c>
      <c r="B92" s="83"/>
      <c r="C92" s="83">
        <v>0.02</v>
      </c>
      <c r="D92" s="83">
        <v>0.02</v>
      </c>
      <c r="E92" s="83">
        <v>0.02</v>
      </c>
      <c r="F92" s="83">
        <v>0.02</v>
      </c>
      <c r="G92" s="83">
        <v>0.02</v>
      </c>
      <c r="H92" s="83">
        <v>0.02</v>
      </c>
      <c r="I92" s="83">
        <v>0.02</v>
      </c>
      <c r="J92" s="83">
        <v>0.02</v>
      </c>
      <c r="K92" s="83">
        <v>0.02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29" t="s">
        <v>377</v>
      </c>
      <c r="B93" s="182">
        <f>CHOOSE(B94,B$45,B$46,B$47,B$48,B$49)</f>
        <v>18498.9852</v>
      </c>
      <c r="C93" s="182">
        <f t="shared" ref="C93:K93" si="30">CHOOSE(C94,C$45,C$46,C$47,C$48)</f>
        <v>18868.9649</v>
      </c>
      <c r="D93" s="182">
        <f t="shared" si="30"/>
        <v>19246.3442</v>
      </c>
      <c r="E93" s="182">
        <f t="shared" si="30"/>
        <v>19631.27109</v>
      </c>
      <c r="F93" s="182">
        <f t="shared" si="30"/>
        <v>20023.89651</v>
      </c>
      <c r="G93" s="182">
        <f t="shared" si="30"/>
        <v>20424.37444</v>
      </c>
      <c r="H93" s="182">
        <f t="shared" si="30"/>
        <v>20832.86193</v>
      </c>
      <c r="I93" s="182">
        <f t="shared" si="30"/>
        <v>21249.51917</v>
      </c>
      <c r="J93" s="182">
        <f t="shared" si="30"/>
        <v>21674.50955</v>
      </c>
      <c r="K93" s="182">
        <f t="shared" si="30"/>
        <v>22107.99974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63" t="s">
        <v>378</v>
      </c>
      <c r="B94" s="371">
        <v>4.0</v>
      </c>
      <c r="C94" s="372">
        <v>4.0</v>
      </c>
      <c r="D94" s="372">
        <v>4.0</v>
      </c>
      <c r="E94" s="372">
        <v>4.0</v>
      </c>
      <c r="F94" s="372">
        <v>4.0</v>
      </c>
      <c r="G94" s="372">
        <v>4.0</v>
      </c>
      <c r="H94" s="372">
        <v>4.0</v>
      </c>
      <c r="I94" s="372">
        <v>4.0</v>
      </c>
      <c r="J94" s="372">
        <v>4.0</v>
      </c>
      <c r="K94" s="372">
        <v>4.0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 t="s">
        <v>387</v>
      </c>
      <c r="B95" s="85">
        <v>56000.0</v>
      </c>
      <c r="C95" s="86">
        <f t="shared" ref="C95:K95" si="31">B95*(1+C96)</f>
        <v>57120</v>
      </c>
      <c r="D95" s="86">
        <f t="shared" si="31"/>
        <v>58262.4</v>
      </c>
      <c r="E95" s="86">
        <f t="shared" si="31"/>
        <v>59427.648</v>
      </c>
      <c r="F95" s="86">
        <f t="shared" si="31"/>
        <v>60616.20096</v>
      </c>
      <c r="G95" s="86">
        <f t="shared" si="31"/>
        <v>61828.52498</v>
      </c>
      <c r="H95" s="86">
        <f t="shared" si="31"/>
        <v>63065.09548</v>
      </c>
      <c r="I95" s="86">
        <f t="shared" si="31"/>
        <v>64326.39739</v>
      </c>
      <c r="J95" s="86">
        <f t="shared" si="31"/>
        <v>65612.92534</v>
      </c>
      <c r="K95" s="86">
        <f t="shared" si="31"/>
        <v>66925.18384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29" t="s">
        <v>61</v>
      </c>
      <c r="B96" s="83"/>
      <c r="C96" s="83">
        <v>0.02</v>
      </c>
      <c r="D96" s="83">
        <v>0.02</v>
      </c>
      <c r="E96" s="83">
        <v>0.02</v>
      </c>
      <c r="F96" s="83">
        <v>0.02</v>
      </c>
      <c r="G96" s="83">
        <v>0.02</v>
      </c>
      <c r="H96" s="83">
        <v>0.02</v>
      </c>
      <c r="I96" s="83">
        <v>0.02</v>
      </c>
      <c r="J96" s="83">
        <v>0.02</v>
      </c>
      <c r="K96" s="83">
        <v>0.02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29" t="s">
        <v>377</v>
      </c>
      <c r="B97" s="182">
        <f>CHOOSE(B98,B$45,B$46,B$47,B$48,B$49)</f>
        <v>7011</v>
      </c>
      <c r="C97" s="182">
        <f t="shared" ref="C97:K97" si="32">CHOOSE(C98,C$45,C$46,C$47,C$48)</f>
        <v>18868.9649</v>
      </c>
      <c r="D97" s="182">
        <f t="shared" si="32"/>
        <v>19246.3442</v>
      </c>
      <c r="E97" s="182">
        <f t="shared" si="32"/>
        <v>19631.27109</v>
      </c>
      <c r="F97" s="182">
        <f t="shared" si="32"/>
        <v>20023.89651</v>
      </c>
      <c r="G97" s="182">
        <f t="shared" si="32"/>
        <v>20424.37444</v>
      </c>
      <c r="H97" s="182">
        <f t="shared" si="32"/>
        <v>20832.86193</v>
      </c>
      <c r="I97" s="182">
        <f t="shared" si="32"/>
        <v>21249.51917</v>
      </c>
      <c r="J97" s="182">
        <f t="shared" si="32"/>
        <v>21674.50955</v>
      </c>
      <c r="K97" s="182">
        <f t="shared" si="32"/>
        <v>22107.99974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63" t="s">
        <v>378</v>
      </c>
      <c r="B98" s="386">
        <v>1.0</v>
      </c>
      <c r="C98" s="372">
        <v>4.0</v>
      </c>
      <c r="D98" s="372">
        <v>4.0</v>
      </c>
      <c r="E98" s="372">
        <v>4.0</v>
      </c>
      <c r="F98" s="372">
        <v>4.0</v>
      </c>
      <c r="G98" s="372">
        <v>4.0</v>
      </c>
      <c r="H98" s="372">
        <v>4.0</v>
      </c>
      <c r="I98" s="372">
        <v>4.0</v>
      </c>
      <c r="J98" s="372">
        <v>4.0</v>
      </c>
      <c r="K98" s="372">
        <v>4.0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 t="s">
        <v>388</v>
      </c>
      <c r="B99" s="85">
        <v>59000.0</v>
      </c>
      <c r="C99" s="86">
        <f t="shared" ref="C99:K99" si="33">B99*(1+C100)</f>
        <v>60180</v>
      </c>
      <c r="D99" s="86">
        <f t="shared" si="33"/>
        <v>61383.6</v>
      </c>
      <c r="E99" s="86">
        <f t="shared" si="33"/>
        <v>62611.272</v>
      </c>
      <c r="F99" s="86">
        <f t="shared" si="33"/>
        <v>63863.49744</v>
      </c>
      <c r="G99" s="86">
        <f t="shared" si="33"/>
        <v>65140.76739</v>
      </c>
      <c r="H99" s="86">
        <f t="shared" si="33"/>
        <v>66443.58274</v>
      </c>
      <c r="I99" s="86">
        <f t="shared" si="33"/>
        <v>67772.45439</v>
      </c>
      <c r="J99" s="86">
        <f t="shared" si="33"/>
        <v>69127.90348</v>
      </c>
      <c r="K99" s="86">
        <f t="shared" si="33"/>
        <v>70510.46155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29" t="s">
        <v>61</v>
      </c>
      <c r="B100" s="83"/>
      <c r="C100" s="83">
        <v>0.02</v>
      </c>
      <c r="D100" s="83">
        <v>0.02</v>
      </c>
      <c r="E100" s="83">
        <v>0.02</v>
      </c>
      <c r="F100" s="83">
        <v>0.02</v>
      </c>
      <c r="G100" s="83">
        <v>0.02</v>
      </c>
      <c r="H100" s="83">
        <v>0.02</v>
      </c>
      <c r="I100" s="83">
        <v>0.02</v>
      </c>
      <c r="J100" s="83">
        <v>0.02</v>
      </c>
      <c r="K100" s="83">
        <v>0.02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29" t="s">
        <v>377</v>
      </c>
      <c r="B101" s="182">
        <f>CHOOSE(B102,B$45,B$46,B$47,B$48,B$49)</f>
        <v>7011</v>
      </c>
      <c r="C101" s="182">
        <f t="shared" ref="C101:K101" si="34">CHOOSE(C102,C$45,C$46,C$47,C$48)</f>
        <v>18868.9649</v>
      </c>
      <c r="D101" s="182">
        <f t="shared" si="34"/>
        <v>19246.3442</v>
      </c>
      <c r="E101" s="182">
        <f t="shared" si="34"/>
        <v>19631.27109</v>
      </c>
      <c r="F101" s="182">
        <f t="shared" si="34"/>
        <v>20023.89651</v>
      </c>
      <c r="G101" s="182">
        <f t="shared" si="34"/>
        <v>20424.37444</v>
      </c>
      <c r="H101" s="182">
        <f t="shared" si="34"/>
        <v>20832.86193</v>
      </c>
      <c r="I101" s="182">
        <f t="shared" si="34"/>
        <v>21249.51917</v>
      </c>
      <c r="J101" s="182">
        <f t="shared" si="34"/>
        <v>21674.50955</v>
      </c>
      <c r="K101" s="182">
        <f t="shared" si="34"/>
        <v>22107.99974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63" t="s">
        <v>378</v>
      </c>
      <c r="B102" s="386">
        <v>1.0</v>
      </c>
      <c r="C102" s="372">
        <v>4.0</v>
      </c>
      <c r="D102" s="372">
        <v>4.0</v>
      </c>
      <c r="E102" s="372">
        <v>4.0</v>
      </c>
      <c r="F102" s="372">
        <v>4.0</v>
      </c>
      <c r="G102" s="372">
        <v>4.0</v>
      </c>
      <c r="H102" s="372">
        <v>4.0</v>
      </c>
      <c r="I102" s="372">
        <v>4.0</v>
      </c>
      <c r="J102" s="372">
        <v>4.0</v>
      </c>
      <c r="K102" s="372">
        <v>4.0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 t="s">
        <v>389</v>
      </c>
      <c r="B103" s="85">
        <v>0.0</v>
      </c>
      <c r="C103" s="86">
        <f t="shared" ref="C103:K103" si="35">B103*(1+C104)</f>
        <v>0</v>
      </c>
      <c r="D103" s="86">
        <f t="shared" si="35"/>
        <v>0</v>
      </c>
      <c r="E103" s="86">
        <f t="shared" si="35"/>
        <v>0</v>
      </c>
      <c r="F103" s="86">
        <f t="shared" si="35"/>
        <v>0</v>
      </c>
      <c r="G103" s="86">
        <f t="shared" si="35"/>
        <v>0</v>
      </c>
      <c r="H103" s="86">
        <f t="shared" si="35"/>
        <v>0</v>
      </c>
      <c r="I103" s="86">
        <f t="shared" si="35"/>
        <v>0</v>
      </c>
      <c r="J103" s="86">
        <f t="shared" si="35"/>
        <v>0</v>
      </c>
      <c r="K103" s="86">
        <f t="shared" si="35"/>
        <v>0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29" t="s">
        <v>61</v>
      </c>
      <c r="B104" s="83"/>
      <c r="C104" s="83">
        <v>0.02</v>
      </c>
      <c r="D104" s="83">
        <v>0.02</v>
      </c>
      <c r="E104" s="83">
        <v>0.02</v>
      </c>
      <c r="F104" s="83">
        <v>0.02</v>
      </c>
      <c r="G104" s="83">
        <v>0.02</v>
      </c>
      <c r="H104" s="83">
        <v>0.02</v>
      </c>
      <c r="I104" s="83">
        <v>0.02</v>
      </c>
      <c r="J104" s="83">
        <v>0.02</v>
      </c>
      <c r="K104" s="83">
        <v>0.02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29" t="s">
        <v>377</v>
      </c>
      <c r="B105" s="182">
        <v>0.0</v>
      </c>
      <c r="C105" s="182">
        <f t="shared" ref="C105:K105" si="36">CHOOSE(C106,C$45,C$46,C$47,C$48)</f>
        <v>18868.9649</v>
      </c>
      <c r="D105" s="182">
        <f t="shared" si="36"/>
        <v>19246.3442</v>
      </c>
      <c r="E105" s="182">
        <f t="shared" si="36"/>
        <v>19631.27109</v>
      </c>
      <c r="F105" s="182">
        <f t="shared" si="36"/>
        <v>20023.89651</v>
      </c>
      <c r="G105" s="182">
        <f t="shared" si="36"/>
        <v>20424.37444</v>
      </c>
      <c r="H105" s="182">
        <f t="shared" si="36"/>
        <v>20832.86193</v>
      </c>
      <c r="I105" s="182">
        <f t="shared" si="36"/>
        <v>21249.51917</v>
      </c>
      <c r="J105" s="182">
        <f t="shared" si="36"/>
        <v>21674.50955</v>
      </c>
      <c r="K105" s="182">
        <f t="shared" si="36"/>
        <v>22107.99974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63" t="s">
        <v>378</v>
      </c>
      <c r="B106" s="386">
        <v>0.0</v>
      </c>
      <c r="C106" s="372">
        <v>4.0</v>
      </c>
      <c r="D106" s="372">
        <v>4.0</v>
      </c>
      <c r="E106" s="372">
        <v>4.0</v>
      </c>
      <c r="F106" s="372">
        <v>4.0</v>
      </c>
      <c r="G106" s="372">
        <v>4.0</v>
      </c>
      <c r="H106" s="372">
        <v>4.0</v>
      </c>
      <c r="I106" s="372">
        <v>4.0</v>
      </c>
      <c r="J106" s="372">
        <v>4.0</v>
      </c>
      <c r="K106" s="372">
        <v>4.0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373" t="s">
        <v>390</v>
      </c>
      <c r="B107" s="383"/>
      <c r="C107" s="375"/>
      <c r="D107" s="383">
        <f>D95</f>
        <v>58262.4</v>
      </c>
      <c r="E107" s="375">
        <f t="shared" ref="E107:K107" si="37">D107*(1+E108)</f>
        <v>59427.648</v>
      </c>
      <c r="F107" s="375">
        <f t="shared" si="37"/>
        <v>60616.20096</v>
      </c>
      <c r="G107" s="375">
        <f t="shared" si="37"/>
        <v>61828.52498</v>
      </c>
      <c r="H107" s="375">
        <f t="shared" si="37"/>
        <v>63065.09548</v>
      </c>
      <c r="I107" s="375">
        <f t="shared" si="37"/>
        <v>64326.39739</v>
      </c>
      <c r="J107" s="375">
        <f t="shared" si="37"/>
        <v>65612.92534</v>
      </c>
      <c r="K107" s="375">
        <f t="shared" si="37"/>
        <v>66925.18384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376" t="s">
        <v>61</v>
      </c>
      <c r="B108" s="377"/>
      <c r="C108" s="377"/>
      <c r="D108" s="377"/>
      <c r="E108" s="377">
        <v>0.02</v>
      </c>
      <c r="F108" s="377">
        <v>0.02</v>
      </c>
      <c r="G108" s="377">
        <v>0.02</v>
      </c>
      <c r="H108" s="377">
        <v>0.02</v>
      </c>
      <c r="I108" s="377">
        <v>0.02</v>
      </c>
      <c r="J108" s="377">
        <v>0.02</v>
      </c>
      <c r="K108" s="377">
        <v>0.02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376" t="s">
        <v>377</v>
      </c>
      <c r="B109" s="378"/>
      <c r="C109" s="378"/>
      <c r="D109" s="378">
        <f t="shared" ref="D109:K109" si="38">CHOOSE(D110,D$45,D$46,D$47,D$48)</f>
        <v>7294.2444</v>
      </c>
      <c r="E109" s="378">
        <f t="shared" si="38"/>
        <v>7440.129288</v>
      </c>
      <c r="F109" s="378">
        <f t="shared" si="38"/>
        <v>7588.931874</v>
      </c>
      <c r="G109" s="378">
        <f t="shared" si="38"/>
        <v>7740.710511</v>
      </c>
      <c r="H109" s="378">
        <f t="shared" si="38"/>
        <v>7895.524721</v>
      </c>
      <c r="I109" s="378">
        <f t="shared" si="38"/>
        <v>8053.435216</v>
      </c>
      <c r="J109" s="378">
        <f t="shared" si="38"/>
        <v>8214.50392</v>
      </c>
      <c r="K109" s="378">
        <f t="shared" si="38"/>
        <v>8378.793999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379" t="s">
        <v>378</v>
      </c>
      <c r="B110" s="381"/>
      <c r="C110" s="381"/>
      <c r="D110" s="381">
        <v>1.0</v>
      </c>
      <c r="E110" s="381">
        <v>1.0</v>
      </c>
      <c r="F110" s="381">
        <v>1.0</v>
      </c>
      <c r="G110" s="381">
        <v>1.0</v>
      </c>
      <c r="H110" s="381">
        <v>1.0</v>
      </c>
      <c r="I110" s="381">
        <v>1.0</v>
      </c>
      <c r="J110" s="381">
        <v>1.0</v>
      </c>
      <c r="K110" s="381">
        <v>1.0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373" t="s">
        <v>387</v>
      </c>
      <c r="B111" s="383"/>
      <c r="C111" s="375"/>
      <c r="D111" s="375"/>
      <c r="E111" s="375"/>
      <c r="F111" s="384"/>
      <c r="G111" s="375"/>
      <c r="H111" s="383">
        <f>H107</f>
        <v>63065.09548</v>
      </c>
      <c r="I111" s="375">
        <f t="shared" ref="I111:K111" si="39">H111*(1+I112)</f>
        <v>64326.39739</v>
      </c>
      <c r="J111" s="375">
        <f t="shared" si="39"/>
        <v>65612.92534</v>
      </c>
      <c r="K111" s="375">
        <f t="shared" si="39"/>
        <v>66925.18384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376" t="s">
        <v>61</v>
      </c>
      <c r="B112" s="377"/>
      <c r="C112" s="377"/>
      <c r="D112" s="377"/>
      <c r="E112" s="377"/>
      <c r="F112" s="377"/>
      <c r="G112" s="377"/>
      <c r="H112" s="377"/>
      <c r="I112" s="377">
        <v>0.02</v>
      </c>
      <c r="J112" s="377">
        <v>0.02</v>
      </c>
      <c r="K112" s="377">
        <v>0.02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376" t="s">
        <v>377</v>
      </c>
      <c r="B113" s="378"/>
      <c r="C113" s="378"/>
      <c r="D113" s="378"/>
      <c r="E113" s="378"/>
      <c r="F113" s="378"/>
      <c r="G113" s="378"/>
      <c r="H113" s="378">
        <f t="shared" ref="H113:K113" si="40">CHOOSE(H114,H$45,H$46,H$47,H$48)</f>
        <v>7895.524721</v>
      </c>
      <c r="I113" s="378">
        <f t="shared" si="40"/>
        <v>8053.435216</v>
      </c>
      <c r="J113" s="378">
        <f t="shared" si="40"/>
        <v>8214.50392</v>
      </c>
      <c r="K113" s="378">
        <f t="shared" si="40"/>
        <v>8378.793999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379" t="s">
        <v>378</v>
      </c>
      <c r="B114" s="381"/>
      <c r="C114" s="381"/>
      <c r="D114" s="381"/>
      <c r="E114" s="381"/>
      <c r="F114" s="381"/>
      <c r="G114" s="381"/>
      <c r="H114" s="381">
        <v>1.0</v>
      </c>
      <c r="I114" s="381">
        <v>1.0</v>
      </c>
      <c r="J114" s="381">
        <v>1.0</v>
      </c>
      <c r="K114" s="381">
        <v>1.0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 t="s">
        <v>391</v>
      </c>
      <c r="B115" s="91"/>
      <c r="C115" s="86"/>
      <c r="D115" s="86"/>
      <c r="E115" s="86"/>
      <c r="F115" s="385"/>
      <c r="G115" s="86"/>
      <c r="H115" s="86"/>
      <c r="I115" s="86"/>
      <c r="J115" s="385">
        <f>J111</f>
        <v>65612.92534</v>
      </c>
      <c r="K115" s="86">
        <f>J115*(1+K116)</f>
        <v>66925.18384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29" t="s">
        <v>61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>
        <v>0.02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29" t="s">
        <v>377</v>
      </c>
      <c r="B117" s="182"/>
      <c r="C117" s="182"/>
      <c r="D117" s="182"/>
      <c r="E117" s="182"/>
      <c r="F117" s="182"/>
      <c r="G117" s="182"/>
      <c r="H117" s="182"/>
      <c r="I117" s="182"/>
      <c r="J117" s="182">
        <f t="shared" ref="J117:K117" si="41">CHOOSE(J118,J$45,J$46,J$47,J$48)</f>
        <v>8214.50392</v>
      </c>
      <c r="K117" s="182">
        <f t="shared" si="41"/>
        <v>8378.793999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63" t="s">
        <v>378</v>
      </c>
      <c r="B118" s="372"/>
      <c r="C118" s="372"/>
      <c r="D118" s="372"/>
      <c r="E118" s="372"/>
      <c r="F118" s="372"/>
      <c r="G118" s="372"/>
      <c r="H118" s="372"/>
      <c r="I118" s="372"/>
      <c r="J118" s="372">
        <v>1.0</v>
      </c>
      <c r="K118" s="372">
        <v>1.0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48" t="s">
        <v>43</v>
      </c>
      <c r="B120" s="137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 t="s">
        <v>392</v>
      </c>
      <c r="B121" s="139">
        <v>71000.0</v>
      </c>
      <c r="C121" s="86">
        <f t="shared" ref="C121:K121" si="42">B121*(1+C122)</f>
        <v>72420</v>
      </c>
      <c r="D121" s="86">
        <f t="shared" si="42"/>
        <v>73868.4</v>
      </c>
      <c r="E121" s="86">
        <f t="shared" si="42"/>
        <v>75345.768</v>
      </c>
      <c r="F121" s="86">
        <f t="shared" si="42"/>
        <v>76852.68336</v>
      </c>
      <c r="G121" s="86">
        <f t="shared" si="42"/>
        <v>78389.73703</v>
      </c>
      <c r="H121" s="86">
        <f t="shared" si="42"/>
        <v>79957.53177</v>
      </c>
      <c r="I121" s="86">
        <f t="shared" si="42"/>
        <v>81556.6824</v>
      </c>
      <c r="J121" s="86">
        <f t="shared" si="42"/>
        <v>83187.81605</v>
      </c>
      <c r="K121" s="86">
        <f t="shared" si="42"/>
        <v>84851.57237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29" t="s">
        <v>61</v>
      </c>
      <c r="B122" s="83"/>
      <c r="C122" s="83">
        <v>0.02</v>
      </c>
      <c r="D122" s="83">
        <v>0.02</v>
      </c>
      <c r="E122" s="83">
        <v>0.02</v>
      </c>
      <c r="F122" s="83">
        <v>0.02</v>
      </c>
      <c r="G122" s="83">
        <v>0.02</v>
      </c>
      <c r="H122" s="83">
        <v>0.02</v>
      </c>
      <c r="I122" s="83">
        <v>0.02</v>
      </c>
      <c r="J122" s="83">
        <v>0.02</v>
      </c>
      <c r="K122" s="83">
        <v>0.02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29" t="s">
        <v>377</v>
      </c>
      <c r="B123" s="182">
        <f>CHOOSE(B124,B$45,B$46,B$47,B$48,B$49)</f>
        <v>7011</v>
      </c>
      <c r="C123" s="182">
        <f t="shared" ref="C123:K123" si="43">CHOOSE(C124,C$45,C$46,C$47,C$48)</f>
        <v>18868.9649</v>
      </c>
      <c r="D123" s="182">
        <f t="shared" si="43"/>
        <v>19246.3442</v>
      </c>
      <c r="E123" s="182">
        <f t="shared" si="43"/>
        <v>19631.27109</v>
      </c>
      <c r="F123" s="182">
        <f t="shared" si="43"/>
        <v>20023.89651</v>
      </c>
      <c r="G123" s="182">
        <f t="shared" si="43"/>
        <v>20424.37444</v>
      </c>
      <c r="H123" s="182">
        <f t="shared" si="43"/>
        <v>20832.86193</v>
      </c>
      <c r="I123" s="182">
        <f t="shared" si="43"/>
        <v>21249.51917</v>
      </c>
      <c r="J123" s="182">
        <f t="shared" si="43"/>
        <v>21674.50955</v>
      </c>
      <c r="K123" s="182">
        <f t="shared" si="43"/>
        <v>22107.99974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63" t="s">
        <v>378</v>
      </c>
      <c r="B124" s="371">
        <v>1.0</v>
      </c>
      <c r="C124" s="372">
        <v>4.0</v>
      </c>
      <c r="D124" s="372">
        <v>4.0</v>
      </c>
      <c r="E124" s="372">
        <v>4.0</v>
      </c>
      <c r="F124" s="372">
        <v>4.0</v>
      </c>
      <c r="G124" s="372">
        <v>4.0</v>
      </c>
      <c r="H124" s="372">
        <v>4.0</v>
      </c>
      <c r="I124" s="372">
        <v>4.0</v>
      </c>
      <c r="J124" s="372">
        <v>4.0</v>
      </c>
      <c r="K124" s="372">
        <v>4.0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373" t="s">
        <v>393</v>
      </c>
      <c r="B125" s="85">
        <v>70000.0</v>
      </c>
      <c r="C125" s="375">
        <f t="shared" ref="C125:K125" si="44">B125*(1+C126)</f>
        <v>71400</v>
      </c>
      <c r="D125" s="383">
        <f t="shared" si="44"/>
        <v>72828</v>
      </c>
      <c r="E125" s="375">
        <f t="shared" si="44"/>
        <v>74284.56</v>
      </c>
      <c r="F125" s="375">
        <f t="shared" si="44"/>
        <v>75770.2512</v>
      </c>
      <c r="G125" s="375">
        <f t="shared" si="44"/>
        <v>77285.65622</v>
      </c>
      <c r="H125" s="375">
        <f t="shared" si="44"/>
        <v>78831.36935</v>
      </c>
      <c r="I125" s="375">
        <f t="shared" si="44"/>
        <v>80407.99674</v>
      </c>
      <c r="J125" s="375">
        <f t="shared" si="44"/>
        <v>82016.15667</v>
      </c>
      <c r="K125" s="375">
        <f t="shared" si="44"/>
        <v>83656.4798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376" t="s">
        <v>61</v>
      </c>
      <c r="B126" s="377"/>
      <c r="C126" s="377">
        <v>0.02</v>
      </c>
      <c r="D126" s="377">
        <v>0.02</v>
      </c>
      <c r="E126" s="377">
        <v>0.02</v>
      </c>
      <c r="F126" s="377">
        <v>0.02</v>
      </c>
      <c r="G126" s="377">
        <v>0.02</v>
      </c>
      <c r="H126" s="377">
        <v>0.02</v>
      </c>
      <c r="I126" s="377">
        <v>0.02</v>
      </c>
      <c r="J126" s="377">
        <v>0.02</v>
      </c>
      <c r="K126" s="377">
        <v>0.02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376" t="s">
        <v>377</v>
      </c>
      <c r="B127" s="378">
        <f>CHOOSE(B128,B$45,B$46,B$47,B$48,B$49)</f>
        <v>0</v>
      </c>
      <c r="C127" s="378">
        <f t="shared" ref="C127:K127" si="45">CHOOSE(C128,C$45,C$46,C$47,C$48)</f>
        <v>11760.02615</v>
      </c>
      <c r="D127" s="378">
        <f t="shared" si="45"/>
        <v>11995.22667</v>
      </c>
      <c r="E127" s="378">
        <f t="shared" si="45"/>
        <v>12235.1312</v>
      </c>
      <c r="F127" s="378">
        <f t="shared" si="45"/>
        <v>12479.83383</v>
      </c>
      <c r="G127" s="378">
        <f t="shared" si="45"/>
        <v>12729.43051</v>
      </c>
      <c r="H127" s="378">
        <f t="shared" si="45"/>
        <v>12984.01912</v>
      </c>
      <c r="I127" s="378">
        <f t="shared" si="45"/>
        <v>13243.6995</v>
      </c>
      <c r="J127" s="378">
        <f t="shared" si="45"/>
        <v>13508.57349</v>
      </c>
      <c r="K127" s="378">
        <f t="shared" si="45"/>
        <v>13778.74496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379" t="s">
        <v>378</v>
      </c>
      <c r="B128" s="380">
        <v>5.0</v>
      </c>
      <c r="C128" s="381">
        <v>2.0</v>
      </c>
      <c r="D128" s="381">
        <v>2.0</v>
      </c>
      <c r="E128" s="381">
        <v>2.0</v>
      </c>
      <c r="F128" s="381">
        <v>2.0</v>
      </c>
      <c r="G128" s="381">
        <v>2.0</v>
      </c>
      <c r="H128" s="381">
        <v>2.0</v>
      </c>
      <c r="I128" s="381">
        <v>2.0</v>
      </c>
      <c r="J128" s="381">
        <v>2.0</v>
      </c>
      <c r="K128" s="381">
        <v>2.0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 t="s">
        <v>394</v>
      </c>
      <c r="B129" s="85">
        <v>61000.0</v>
      </c>
      <c r="C129" s="86">
        <f t="shared" ref="C129:K129" si="46">B129*(1+C130)</f>
        <v>62220</v>
      </c>
      <c r="D129" s="86">
        <f t="shared" si="46"/>
        <v>63464.4</v>
      </c>
      <c r="E129" s="86">
        <f t="shared" si="46"/>
        <v>64733.688</v>
      </c>
      <c r="F129" s="86">
        <f t="shared" si="46"/>
        <v>66028.36176</v>
      </c>
      <c r="G129" s="86">
        <f t="shared" si="46"/>
        <v>67348.929</v>
      </c>
      <c r="H129" s="86">
        <f t="shared" si="46"/>
        <v>68695.90758</v>
      </c>
      <c r="I129" s="86">
        <f t="shared" si="46"/>
        <v>70069.82573</v>
      </c>
      <c r="J129" s="86">
        <f t="shared" si="46"/>
        <v>71471.22224</v>
      </c>
      <c r="K129" s="86">
        <f t="shared" si="46"/>
        <v>72900.64669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29" t="s">
        <v>61</v>
      </c>
      <c r="B130" s="83"/>
      <c r="C130" s="83">
        <v>0.02</v>
      </c>
      <c r="D130" s="83">
        <v>0.02</v>
      </c>
      <c r="E130" s="83">
        <v>0.02</v>
      </c>
      <c r="F130" s="83">
        <v>0.02</v>
      </c>
      <c r="G130" s="83">
        <v>0.02</v>
      </c>
      <c r="H130" s="83">
        <v>0.02</v>
      </c>
      <c r="I130" s="83">
        <v>0.02</v>
      </c>
      <c r="J130" s="83">
        <v>0.02</v>
      </c>
      <c r="K130" s="83">
        <v>0.02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29" t="s">
        <v>377</v>
      </c>
      <c r="B131" s="182">
        <f>CHOOSE(B132,B$45,B$46,B$47,B$48,B$49)</f>
        <v>15236.3214</v>
      </c>
      <c r="C131" s="182">
        <f t="shared" ref="C131:K131" si="47">CHOOSE(C132,C$45,C$46,C$47,C$48)</f>
        <v>15541.04783</v>
      </c>
      <c r="D131" s="182">
        <f t="shared" si="47"/>
        <v>15851.86878</v>
      </c>
      <c r="E131" s="182">
        <f t="shared" si="47"/>
        <v>16168.90616</v>
      </c>
      <c r="F131" s="182">
        <f t="shared" si="47"/>
        <v>16492.28428</v>
      </c>
      <c r="G131" s="182">
        <f t="shared" si="47"/>
        <v>16822.12997</v>
      </c>
      <c r="H131" s="182">
        <f t="shared" si="47"/>
        <v>17158.57257</v>
      </c>
      <c r="I131" s="182">
        <f t="shared" si="47"/>
        <v>17501.74402</v>
      </c>
      <c r="J131" s="182">
        <f t="shared" si="47"/>
        <v>17851.7789</v>
      </c>
      <c r="K131" s="182">
        <f t="shared" si="47"/>
        <v>18208.81448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63" t="s">
        <v>378</v>
      </c>
      <c r="B132" s="386">
        <v>3.0</v>
      </c>
      <c r="C132" s="372">
        <v>3.0</v>
      </c>
      <c r="D132" s="372">
        <v>3.0</v>
      </c>
      <c r="E132" s="372">
        <v>3.0</v>
      </c>
      <c r="F132" s="372">
        <v>3.0</v>
      </c>
      <c r="G132" s="372">
        <v>3.0</v>
      </c>
      <c r="H132" s="372">
        <v>3.0</v>
      </c>
      <c r="I132" s="372">
        <v>3.0</v>
      </c>
      <c r="J132" s="372">
        <v>3.0</v>
      </c>
      <c r="K132" s="372">
        <v>3.0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48" t="s">
        <v>395</v>
      </c>
      <c r="B134" s="137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 t="s">
        <v>392</v>
      </c>
      <c r="B135" s="139">
        <v>75000.0</v>
      </c>
      <c r="C135" s="86">
        <f t="shared" ref="C135:K135" si="48">B135*(1+C136)</f>
        <v>76500</v>
      </c>
      <c r="D135" s="86">
        <f t="shared" si="48"/>
        <v>78030</v>
      </c>
      <c r="E135" s="86">
        <f t="shared" si="48"/>
        <v>79590.6</v>
      </c>
      <c r="F135" s="86">
        <f t="shared" si="48"/>
        <v>81182.412</v>
      </c>
      <c r="G135" s="86">
        <f t="shared" si="48"/>
        <v>82806.06024</v>
      </c>
      <c r="H135" s="86">
        <f t="shared" si="48"/>
        <v>84462.18144</v>
      </c>
      <c r="I135" s="86">
        <f t="shared" si="48"/>
        <v>86151.42507</v>
      </c>
      <c r="J135" s="86">
        <f t="shared" si="48"/>
        <v>87874.45358</v>
      </c>
      <c r="K135" s="86">
        <f t="shared" si="48"/>
        <v>89631.94265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29" t="s">
        <v>61</v>
      </c>
      <c r="B136" s="83"/>
      <c r="C136" s="83">
        <v>0.02</v>
      </c>
      <c r="D136" s="83">
        <v>0.02</v>
      </c>
      <c r="E136" s="83">
        <v>0.02</v>
      </c>
      <c r="F136" s="83">
        <v>0.02</v>
      </c>
      <c r="G136" s="83">
        <v>0.02</v>
      </c>
      <c r="H136" s="83">
        <v>0.02</v>
      </c>
      <c r="I136" s="83">
        <v>0.02</v>
      </c>
      <c r="J136" s="83">
        <v>0.02</v>
      </c>
      <c r="K136" s="83">
        <v>0.02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29" t="s">
        <v>377</v>
      </c>
      <c r="B137" s="182">
        <f>CHOOSE(B138,B$45,B$46,B$47,B$48,B$49)</f>
        <v>18498.9852</v>
      </c>
      <c r="C137" s="182">
        <f t="shared" ref="C137:K137" si="49">CHOOSE(C138,C$45,C$46,C$47,C$48)</f>
        <v>7151.22</v>
      </c>
      <c r="D137" s="182">
        <f t="shared" si="49"/>
        <v>7294.2444</v>
      </c>
      <c r="E137" s="182">
        <f t="shared" si="49"/>
        <v>7440.129288</v>
      </c>
      <c r="F137" s="182">
        <f t="shared" si="49"/>
        <v>7588.931874</v>
      </c>
      <c r="G137" s="182">
        <f t="shared" si="49"/>
        <v>7740.710511</v>
      </c>
      <c r="H137" s="182">
        <f t="shared" si="49"/>
        <v>7895.524721</v>
      </c>
      <c r="I137" s="182">
        <f t="shared" si="49"/>
        <v>8053.435216</v>
      </c>
      <c r="J137" s="182">
        <f t="shared" si="49"/>
        <v>8214.50392</v>
      </c>
      <c r="K137" s="182">
        <f t="shared" si="49"/>
        <v>8378.793999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63" t="s">
        <v>378</v>
      </c>
      <c r="B138" s="371">
        <v>4.0</v>
      </c>
      <c r="C138" s="372">
        <v>1.0</v>
      </c>
      <c r="D138" s="372">
        <v>1.0</v>
      </c>
      <c r="E138" s="372">
        <v>1.0</v>
      </c>
      <c r="F138" s="372">
        <v>1.0</v>
      </c>
      <c r="G138" s="372">
        <v>1.0</v>
      </c>
      <c r="H138" s="372">
        <v>1.0</v>
      </c>
      <c r="I138" s="372">
        <v>1.0</v>
      </c>
      <c r="J138" s="372">
        <v>1.0</v>
      </c>
      <c r="K138" s="372">
        <v>1.0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373" t="s">
        <v>396</v>
      </c>
      <c r="B139" s="85">
        <v>61000.0</v>
      </c>
      <c r="C139" s="375">
        <f t="shared" ref="C139:K139" si="50">B139*(1+C140)</f>
        <v>62220</v>
      </c>
      <c r="D139" s="375">
        <f t="shared" si="50"/>
        <v>63464.4</v>
      </c>
      <c r="E139" s="375">
        <f t="shared" si="50"/>
        <v>64733.688</v>
      </c>
      <c r="F139" s="375">
        <f t="shared" si="50"/>
        <v>66028.36176</v>
      </c>
      <c r="G139" s="375">
        <f t="shared" si="50"/>
        <v>67348.929</v>
      </c>
      <c r="H139" s="375">
        <f t="shared" si="50"/>
        <v>68695.90758</v>
      </c>
      <c r="I139" s="375">
        <f t="shared" si="50"/>
        <v>70069.82573</v>
      </c>
      <c r="J139" s="375">
        <f t="shared" si="50"/>
        <v>71471.22224</v>
      </c>
      <c r="K139" s="375">
        <f t="shared" si="50"/>
        <v>72900.64669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376" t="s">
        <v>61</v>
      </c>
      <c r="B140" s="377"/>
      <c r="C140" s="377">
        <v>0.02</v>
      </c>
      <c r="D140" s="377">
        <v>0.02</v>
      </c>
      <c r="E140" s="377">
        <v>0.02</v>
      </c>
      <c r="F140" s="377">
        <v>0.02</v>
      </c>
      <c r="G140" s="377">
        <v>0.02</v>
      </c>
      <c r="H140" s="377">
        <v>0.02</v>
      </c>
      <c r="I140" s="377">
        <v>0.02</v>
      </c>
      <c r="J140" s="377">
        <v>0.02</v>
      </c>
      <c r="K140" s="377">
        <v>0.02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376" t="s">
        <v>377</v>
      </c>
      <c r="B141" s="378">
        <f>CHOOSE(B142,B$45,B$46,B$47,B$48,B$49)</f>
        <v>15236.3214</v>
      </c>
      <c r="C141" s="378">
        <f t="shared" ref="C141:K141" si="51">CHOOSE(C142,C$45,C$46,C$47,C$48)</f>
        <v>11760.02615</v>
      </c>
      <c r="D141" s="378">
        <f t="shared" si="51"/>
        <v>11995.22667</v>
      </c>
      <c r="E141" s="378">
        <f t="shared" si="51"/>
        <v>12235.1312</v>
      </c>
      <c r="F141" s="378">
        <f t="shared" si="51"/>
        <v>12479.83383</v>
      </c>
      <c r="G141" s="378">
        <f t="shared" si="51"/>
        <v>12729.43051</v>
      </c>
      <c r="H141" s="378">
        <f t="shared" si="51"/>
        <v>12984.01912</v>
      </c>
      <c r="I141" s="378">
        <f t="shared" si="51"/>
        <v>13243.6995</v>
      </c>
      <c r="J141" s="378">
        <f t="shared" si="51"/>
        <v>13508.57349</v>
      </c>
      <c r="K141" s="378">
        <f t="shared" si="51"/>
        <v>13778.74496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379" t="s">
        <v>378</v>
      </c>
      <c r="B142" s="387">
        <v>3.0</v>
      </c>
      <c r="C142" s="381">
        <v>2.0</v>
      </c>
      <c r="D142" s="381">
        <v>2.0</v>
      </c>
      <c r="E142" s="381">
        <v>2.0</v>
      </c>
      <c r="F142" s="381">
        <v>2.0</v>
      </c>
      <c r="G142" s="381">
        <v>2.0</v>
      </c>
      <c r="H142" s="381">
        <v>2.0</v>
      </c>
      <c r="I142" s="381">
        <v>2.0</v>
      </c>
      <c r="J142" s="381">
        <v>2.0</v>
      </c>
      <c r="K142" s="381">
        <v>2.0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 t="s">
        <v>397</v>
      </c>
      <c r="B143" s="85">
        <v>64000.0</v>
      </c>
      <c r="C143" s="86">
        <f t="shared" ref="C143:K143" si="52">B143*(1+C144)</f>
        <v>65280</v>
      </c>
      <c r="D143" s="86">
        <f t="shared" si="52"/>
        <v>66585.6</v>
      </c>
      <c r="E143" s="86">
        <f t="shared" si="52"/>
        <v>67917.312</v>
      </c>
      <c r="F143" s="86">
        <f t="shared" si="52"/>
        <v>69275.65824</v>
      </c>
      <c r="G143" s="86">
        <f t="shared" si="52"/>
        <v>70661.1714</v>
      </c>
      <c r="H143" s="86">
        <f t="shared" si="52"/>
        <v>72074.39483</v>
      </c>
      <c r="I143" s="86">
        <f t="shared" si="52"/>
        <v>73515.88273</v>
      </c>
      <c r="J143" s="86">
        <f t="shared" si="52"/>
        <v>74986.20038</v>
      </c>
      <c r="K143" s="86">
        <f t="shared" si="52"/>
        <v>76485.92439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29" t="s">
        <v>61</v>
      </c>
      <c r="B144" s="83"/>
      <c r="C144" s="83">
        <v>0.02</v>
      </c>
      <c r="D144" s="83">
        <v>0.02</v>
      </c>
      <c r="E144" s="83">
        <v>0.02</v>
      </c>
      <c r="F144" s="83">
        <v>0.02</v>
      </c>
      <c r="G144" s="83">
        <v>0.02</v>
      </c>
      <c r="H144" s="83">
        <v>0.02</v>
      </c>
      <c r="I144" s="83">
        <v>0.02</v>
      </c>
      <c r="J144" s="83">
        <v>0.02</v>
      </c>
      <c r="K144" s="83">
        <v>0.02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29" t="s">
        <v>377</v>
      </c>
      <c r="B145" s="182">
        <f>CHOOSE(B146,B$45,B$46,B$47,B$48,B$49)</f>
        <v>15236.3214</v>
      </c>
      <c r="C145" s="182">
        <f t="shared" ref="C145:K145" si="53">CHOOSE(C146,C$45,C$46,C$47,C$48)</f>
        <v>15541.04783</v>
      </c>
      <c r="D145" s="182">
        <f t="shared" si="53"/>
        <v>15851.86878</v>
      </c>
      <c r="E145" s="182">
        <f t="shared" si="53"/>
        <v>16168.90616</v>
      </c>
      <c r="F145" s="182">
        <f t="shared" si="53"/>
        <v>16492.28428</v>
      </c>
      <c r="G145" s="182">
        <f t="shared" si="53"/>
        <v>16822.12997</v>
      </c>
      <c r="H145" s="182">
        <f t="shared" si="53"/>
        <v>17158.57257</v>
      </c>
      <c r="I145" s="182">
        <f t="shared" si="53"/>
        <v>17501.74402</v>
      </c>
      <c r="J145" s="182">
        <f t="shared" si="53"/>
        <v>17851.7789</v>
      </c>
      <c r="K145" s="182">
        <f t="shared" si="53"/>
        <v>18208.81448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63" t="s">
        <v>378</v>
      </c>
      <c r="B146" s="372">
        <v>3.0</v>
      </c>
      <c r="C146" s="372">
        <v>3.0</v>
      </c>
      <c r="D146" s="372">
        <v>3.0</v>
      </c>
      <c r="E146" s="372">
        <v>3.0</v>
      </c>
      <c r="F146" s="372">
        <v>3.0</v>
      </c>
      <c r="G146" s="372">
        <v>3.0</v>
      </c>
      <c r="H146" s="372">
        <v>3.0</v>
      </c>
      <c r="I146" s="372">
        <v>3.0</v>
      </c>
      <c r="J146" s="372">
        <v>3.0</v>
      </c>
      <c r="K146" s="372">
        <v>3.0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 t="s">
        <v>398</v>
      </c>
      <c r="B147" s="385"/>
      <c r="C147" s="86"/>
      <c r="D147" s="86"/>
      <c r="E147" s="86"/>
      <c r="F147" s="385">
        <v>59533.768800000005</v>
      </c>
      <c r="G147" s="86">
        <f t="shared" ref="G147:K147" si="54">F147*(1+G148)</f>
        <v>60724.44418</v>
      </c>
      <c r="H147" s="86">
        <f t="shared" si="54"/>
        <v>61938.93306</v>
      </c>
      <c r="I147" s="86">
        <f t="shared" si="54"/>
        <v>63177.71172</v>
      </c>
      <c r="J147" s="86">
        <f t="shared" si="54"/>
        <v>64441.26596</v>
      </c>
      <c r="K147" s="86">
        <f t="shared" si="54"/>
        <v>65730.09127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29" t="s">
        <v>61</v>
      </c>
      <c r="B148" s="83"/>
      <c r="C148" s="83"/>
      <c r="D148" s="83"/>
      <c r="E148" s="83"/>
      <c r="F148" s="83"/>
      <c r="G148" s="83">
        <v>0.02</v>
      </c>
      <c r="H148" s="83">
        <v>0.02</v>
      </c>
      <c r="I148" s="83">
        <v>0.02</v>
      </c>
      <c r="J148" s="83">
        <v>0.02</v>
      </c>
      <c r="K148" s="83">
        <v>0.02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29" t="s">
        <v>377</v>
      </c>
      <c r="B149" s="182"/>
      <c r="C149" s="182"/>
      <c r="D149" s="182"/>
      <c r="E149" s="182"/>
      <c r="F149" s="182">
        <f t="shared" ref="F149:K149" si="55">CHOOSE(F150,F$45,F$46,F$47,F$48)</f>
        <v>20023.89651</v>
      </c>
      <c r="G149" s="182">
        <f t="shared" si="55"/>
        <v>20424.37444</v>
      </c>
      <c r="H149" s="182">
        <f t="shared" si="55"/>
        <v>20832.86193</v>
      </c>
      <c r="I149" s="182">
        <f t="shared" si="55"/>
        <v>21249.51917</v>
      </c>
      <c r="J149" s="182">
        <f t="shared" si="55"/>
        <v>21674.50955</v>
      </c>
      <c r="K149" s="182">
        <f t="shared" si="55"/>
        <v>22107.99974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63" t="s">
        <v>378</v>
      </c>
      <c r="B150" s="372"/>
      <c r="C150" s="372"/>
      <c r="D150" s="372"/>
      <c r="E150" s="372"/>
      <c r="F150" s="372">
        <v>4.0</v>
      </c>
      <c r="G150" s="372">
        <v>4.0</v>
      </c>
      <c r="H150" s="372">
        <v>4.0</v>
      </c>
      <c r="I150" s="372">
        <v>4.0</v>
      </c>
      <c r="J150" s="372">
        <v>4.0</v>
      </c>
      <c r="K150" s="372">
        <v>4.0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 t="s">
        <v>399</v>
      </c>
      <c r="B151" s="385"/>
      <c r="C151" s="86"/>
      <c r="D151" s="86"/>
      <c r="E151" s="86"/>
      <c r="F151" s="385">
        <v>59533.768800000005</v>
      </c>
      <c r="G151" s="86">
        <f t="shared" ref="G151:K151" si="56">F151*(1+G152)</f>
        <v>60724.44418</v>
      </c>
      <c r="H151" s="86">
        <f t="shared" si="56"/>
        <v>61938.93306</v>
      </c>
      <c r="I151" s="86">
        <f t="shared" si="56"/>
        <v>63177.71172</v>
      </c>
      <c r="J151" s="86">
        <f t="shared" si="56"/>
        <v>64441.26596</v>
      </c>
      <c r="K151" s="86">
        <f t="shared" si="56"/>
        <v>65730.09127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29" t="s">
        <v>61</v>
      </c>
      <c r="B152" s="83"/>
      <c r="C152" s="83"/>
      <c r="D152" s="83"/>
      <c r="E152" s="83"/>
      <c r="F152" s="83"/>
      <c r="G152" s="83">
        <v>0.02</v>
      </c>
      <c r="H152" s="83">
        <v>0.02</v>
      </c>
      <c r="I152" s="83">
        <v>0.02</v>
      </c>
      <c r="J152" s="83">
        <v>0.02</v>
      </c>
      <c r="K152" s="83">
        <v>0.02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29" t="s">
        <v>377</v>
      </c>
      <c r="B153" s="182"/>
      <c r="C153" s="182"/>
      <c r="D153" s="182"/>
      <c r="E153" s="182"/>
      <c r="F153" s="182">
        <f t="shared" ref="F153:K153" si="57">CHOOSE(F154,F$45,F$46,F$47,F$48)</f>
        <v>16492.28428</v>
      </c>
      <c r="G153" s="182">
        <f t="shared" si="57"/>
        <v>16822.12997</v>
      </c>
      <c r="H153" s="182">
        <f t="shared" si="57"/>
        <v>17158.57257</v>
      </c>
      <c r="I153" s="182">
        <f t="shared" si="57"/>
        <v>17501.74402</v>
      </c>
      <c r="J153" s="182">
        <f t="shared" si="57"/>
        <v>17851.7789</v>
      </c>
      <c r="K153" s="182">
        <f t="shared" si="57"/>
        <v>18208.81448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63" t="s">
        <v>378</v>
      </c>
      <c r="B154" s="372"/>
      <c r="C154" s="372"/>
      <c r="D154" s="372"/>
      <c r="E154" s="372"/>
      <c r="F154" s="372">
        <v>3.0</v>
      </c>
      <c r="G154" s="372">
        <v>3.0</v>
      </c>
      <c r="H154" s="372">
        <v>3.0</v>
      </c>
      <c r="I154" s="372">
        <v>3.0</v>
      </c>
      <c r="J154" s="372">
        <v>3.0</v>
      </c>
      <c r="K154" s="372">
        <v>3.0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48" t="s">
        <v>400</v>
      </c>
      <c r="B156" s="137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 t="s">
        <v>401</v>
      </c>
      <c r="B157" s="91"/>
      <c r="C157" s="91">
        <v>56100.0</v>
      </c>
      <c r="D157" s="86">
        <f t="shared" ref="D157:K157" si="58">C157*(1+D158)</f>
        <v>57222</v>
      </c>
      <c r="E157" s="86">
        <f t="shared" si="58"/>
        <v>58366.44</v>
      </c>
      <c r="F157" s="86">
        <f t="shared" si="58"/>
        <v>59533.7688</v>
      </c>
      <c r="G157" s="86">
        <f t="shared" si="58"/>
        <v>60724.44418</v>
      </c>
      <c r="H157" s="86">
        <f t="shared" si="58"/>
        <v>61938.93306</v>
      </c>
      <c r="I157" s="86">
        <f t="shared" si="58"/>
        <v>63177.71172</v>
      </c>
      <c r="J157" s="86">
        <f t="shared" si="58"/>
        <v>64441.26596</v>
      </c>
      <c r="K157" s="86">
        <f t="shared" si="58"/>
        <v>65730.09127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29" t="s">
        <v>61</v>
      </c>
      <c r="B158" s="83"/>
      <c r="C158" s="83"/>
      <c r="D158" s="83">
        <v>0.02</v>
      </c>
      <c r="E158" s="83">
        <v>0.02</v>
      </c>
      <c r="F158" s="83">
        <v>0.02</v>
      </c>
      <c r="G158" s="83">
        <v>0.02</v>
      </c>
      <c r="H158" s="83">
        <v>0.02</v>
      </c>
      <c r="I158" s="83">
        <v>0.02</v>
      </c>
      <c r="J158" s="83">
        <v>0.02</v>
      </c>
      <c r="K158" s="83">
        <v>0.02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29" t="s">
        <v>377</v>
      </c>
      <c r="B159" s="182"/>
      <c r="C159" s="182">
        <f t="shared" ref="C159:K159" si="59">CHOOSE(C160,C$45,C$46,C$47,C$48)</f>
        <v>7151.22</v>
      </c>
      <c r="D159" s="182">
        <f t="shared" si="59"/>
        <v>7294.2444</v>
      </c>
      <c r="E159" s="182">
        <f t="shared" si="59"/>
        <v>7440.129288</v>
      </c>
      <c r="F159" s="182">
        <f t="shared" si="59"/>
        <v>7588.931874</v>
      </c>
      <c r="G159" s="182">
        <f t="shared" si="59"/>
        <v>7740.710511</v>
      </c>
      <c r="H159" s="182">
        <f t="shared" si="59"/>
        <v>7895.524721</v>
      </c>
      <c r="I159" s="182">
        <f t="shared" si="59"/>
        <v>8053.435216</v>
      </c>
      <c r="J159" s="182">
        <f t="shared" si="59"/>
        <v>8214.50392</v>
      </c>
      <c r="K159" s="182">
        <f t="shared" si="59"/>
        <v>8378.793999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63" t="s">
        <v>378</v>
      </c>
      <c r="B160" s="372"/>
      <c r="C160" s="372">
        <v>1.0</v>
      </c>
      <c r="D160" s="372">
        <v>1.0</v>
      </c>
      <c r="E160" s="372">
        <v>1.0</v>
      </c>
      <c r="F160" s="372">
        <v>1.0</v>
      </c>
      <c r="G160" s="372">
        <v>1.0</v>
      </c>
      <c r="H160" s="372">
        <v>1.0</v>
      </c>
      <c r="I160" s="372">
        <v>1.0</v>
      </c>
      <c r="J160" s="372">
        <v>1.0</v>
      </c>
      <c r="K160" s="372">
        <v>1.0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373" t="s">
        <v>402</v>
      </c>
      <c r="B161" s="383"/>
      <c r="C161" s="383">
        <v>56100.0</v>
      </c>
      <c r="D161" s="375">
        <f t="shared" ref="D161:K161" si="60">C161*(1+D162)</f>
        <v>57222</v>
      </c>
      <c r="E161" s="375">
        <f t="shared" si="60"/>
        <v>58366.44</v>
      </c>
      <c r="F161" s="375">
        <f t="shared" si="60"/>
        <v>59533.7688</v>
      </c>
      <c r="G161" s="375">
        <f t="shared" si="60"/>
        <v>60724.44418</v>
      </c>
      <c r="H161" s="375">
        <f t="shared" si="60"/>
        <v>61938.93306</v>
      </c>
      <c r="I161" s="375">
        <f t="shared" si="60"/>
        <v>63177.71172</v>
      </c>
      <c r="J161" s="375">
        <f t="shared" si="60"/>
        <v>64441.26596</v>
      </c>
      <c r="K161" s="375">
        <f t="shared" si="60"/>
        <v>65730.09127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376" t="s">
        <v>61</v>
      </c>
      <c r="B162" s="377"/>
      <c r="C162" s="377"/>
      <c r="D162" s="377">
        <v>0.02</v>
      </c>
      <c r="E162" s="377">
        <v>0.02</v>
      </c>
      <c r="F162" s="377">
        <v>0.02</v>
      </c>
      <c r="G162" s="377">
        <v>0.02</v>
      </c>
      <c r="H162" s="377">
        <v>0.02</v>
      </c>
      <c r="I162" s="377">
        <v>0.02</v>
      </c>
      <c r="J162" s="377">
        <v>0.02</v>
      </c>
      <c r="K162" s="377">
        <v>0.02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376" t="s">
        <v>377</v>
      </c>
      <c r="B163" s="378"/>
      <c r="C163" s="378">
        <f t="shared" ref="C163:K163" si="61">CHOOSE(C164,C$45,C$46,C$47,C$48)</f>
        <v>11760.02615</v>
      </c>
      <c r="D163" s="378">
        <f t="shared" si="61"/>
        <v>11995.22667</v>
      </c>
      <c r="E163" s="378">
        <f t="shared" si="61"/>
        <v>12235.1312</v>
      </c>
      <c r="F163" s="378">
        <f t="shared" si="61"/>
        <v>12479.83383</v>
      </c>
      <c r="G163" s="378">
        <f t="shared" si="61"/>
        <v>12729.43051</v>
      </c>
      <c r="H163" s="378">
        <f t="shared" si="61"/>
        <v>12984.01912</v>
      </c>
      <c r="I163" s="378">
        <f t="shared" si="61"/>
        <v>13243.6995</v>
      </c>
      <c r="J163" s="378">
        <f t="shared" si="61"/>
        <v>13508.57349</v>
      </c>
      <c r="K163" s="378">
        <f t="shared" si="61"/>
        <v>13778.74496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379" t="s">
        <v>378</v>
      </c>
      <c r="B164" s="381"/>
      <c r="C164" s="381">
        <v>2.0</v>
      </c>
      <c r="D164" s="381">
        <v>2.0</v>
      </c>
      <c r="E164" s="381">
        <v>2.0</v>
      </c>
      <c r="F164" s="381">
        <v>2.0</v>
      </c>
      <c r="G164" s="381">
        <v>2.0</v>
      </c>
      <c r="H164" s="381">
        <v>2.0</v>
      </c>
      <c r="I164" s="381">
        <v>2.0</v>
      </c>
      <c r="J164" s="381">
        <v>2.0</v>
      </c>
      <c r="K164" s="381">
        <v>2.0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 t="s">
        <v>403</v>
      </c>
      <c r="B165" s="91"/>
      <c r="C165" s="91">
        <v>56100.0</v>
      </c>
      <c r="D165" s="86">
        <f t="shared" ref="D165:K165" si="62">C165*(1+D166)</f>
        <v>57222</v>
      </c>
      <c r="E165" s="86">
        <f t="shared" si="62"/>
        <v>58366.44</v>
      </c>
      <c r="F165" s="86">
        <f t="shared" si="62"/>
        <v>59533.7688</v>
      </c>
      <c r="G165" s="86">
        <f t="shared" si="62"/>
        <v>60724.44418</v>
      </c>
      <c r="H165" s="86">
        <f t="shared" si="62"/>
        <v>61938.93306</v>
      </c>
      <c r="I165" s="86">
        <f t="shared" si="62"/>
        <v>63177.71172</v>
      </c>
      <c r="J165" s="86">
        <f t="shared" si="62"/>
        <v>64441.26596</v>
      </c>
      <c r="K165" s="86">
        <f t="shared" si="62"/>
        <v>65730.09127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29" t="s">
        <v>61</v>
      </c>
      <c r="B166" s="83"/>
      <c r="C166" s="83"/>
      <c r="D166" s="83">
        <v>0.02</v>
      </c>
      <c r="E166" s="83">
        <v>0.02</v>
      </c>
      <c r="F166" s="83">
        <v>0.02</v>
      </c>
      <c r="G166" s="83">
        <v>0.02</v>
      </c>
      <c r="H166" s="83">
        <v>0.02</v>
      </c>
      <c r="I166" s="83">
        <v>0.02</v>
      </c>
      <c r="J166" s="83">
        <v>0.02</v>
      </c>
      <c r="K166" s="83">
        <v>0.02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29" t="s">
        <v>377</v>
      </c>
      <c r="B167" s="182"/>
      <c r="C167" s="182">
        <f t="shared" ref="C167:K167" si="63">CHOOSE(C168,C$45,C$46,C$47,C$48)</f>
        <v>15541.04783</v>
      </c>
      <c r="D167" s="182">
        <f t="shared" si="63"/>
        <v>15851.86878</v>
      </c>
      <c r="E167" s="182">
        <f t="shared" si="63"/>
        <v>16168.90616</v>
      </c>
      <c r="F167" s="182">
        <f t="shared" si="63"/>
        <v>16492.28428</v>
      </c>
      <c r="G167" s="182">
        <f t="shared" si="63"/>
        <v>16822.12997</v>
      </c>
      <c r="H167" s="182">
        <f t="shared" si="63"/>
        <v>17158.57257</v>
      </c>
      <c r="I167" s="182">
        <f t="shared" si="63"/>
        <v>17501.74402</v>
      </c>
      <c r="J167" s="182">
        <f t="shared" si="63"/>
        <v>17851.7789</v>
      </c>
      <c r="K167" s="182">
        <f t="shared" si="63"/>
        <v>18208.81448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63" t="s">
        <v>378</v>
      </c>
      <c r="B168" s="372"/>
      <c r="C168" s="372">
        <v>3.0</v>
      </c>
      <c r="D168" s="372">
        <v>3.0</v>
      </c>
      <c r="E168" s="372">
        <v>3.0</v>
      </c>
      <c r="F168" s="372">
        <v>3.0</v>
      </c>
      <c r="G168" s="372">
        <v>3.0</v>
      </c>
      <c r="H168" s="372">
        <v>3.0</v>
      </c>
      <c r="I168" s="372">
        <v>3.0</v>
      </c>
      <c r="J168" s="372">
        <v>3.0</v>
      </c>
      <c r="K168" s="372">
        <v>3.0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373" t="s">
        <v>404</v>
      </c>
      <c r="B169" s="383"/>
      <c r="C169" s="383">
        <v>56100.0</v>
      </c>
      <c r="D169" s="375">
        <f t="shared" ref="D169:K169" si="64">C169*(1+D170)</f>
        <v>57222</v>
      </c>
      <c r="E169" s="375">
        <f t="shared" si="64"/>
        <v>58366.44</v>
      </c>
      <c r="F169" s="375">
        <f t="shared" si="64"/>
        <v>59533.7688</v>
      </c>
      <c r="G169" s="375">
        <f t="shared" si="64"/>
        <v>60724.44418</v>
      </c>
      <c r="H169" s="375">
        <f t="shared" si="64"/>
        <v>61938.93306</v>
      </c>
      <c r="I169" s="375">
        <f t="shared" si="64"/>
        <v>63177.71172</v>
      </c>
      <c r="J169" s="375">
        <f t="shared" si="64"/>
        <v>64441.26596</v>
      </c>
      <c r="K169" s="375">
        <f t="shared" si="64"/>
        <v>65730.09127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376" t="s">
        <v>61</v>
      </c>
      <c r="B170" s="377"/>
      <c r="C170" s="377"/>
      <c r="D170" s="377">
        <v>0.02</v>
      </c>
      <c r="E170" s="377">
        <v>0.02</v>
      </c>
      <c r="F170" s="377">
        <v>0.02</v>
      </c>
      <c r="G170" s="377">
        <v>0.02</v>
      </c>
      <c r="H170" s="377">
        <v>0.02</v>
      </c>
      <c r="I170" s="377">
        <v>0.02</v>
      </c>
      <c r="J170" s="377">
        <v>0.02</v>
      </c>
      <c r="K170" s="377">
        <v>0.02</v>
      </c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376" t="s">
        <v>377</v>
      </c>
      <c r="B171" s="378"/>
      <c r="C171" s="378">
        <f t="shared" ref="C171:K171" si="65">CHOOSE(C172,C$45,C$46,C$47,C$48)</f>
        <v>18868.9649</v>
      </c>
      <c r="D171" s="378">
        <f t="shared" si="65"/>
        <v>19246.3442</v>
      </c>
      <c r="E171" s="378">
        <f t="shared" si="65"/>
        <v>19631.27109</v>
      </c>
      <c r="F171" s="378">
        <f t="shared" si="65"/>
        <v>20023.89651</v>
      </c>
      <c r="G171" s="378">
        <f t="shared" si="65"/>
        <v>20424.37444</v>
      </c>
      <c r="H171" s="378">
        <f t="shared" si="65"/>
        <v>20832.86193</v>
      </c>
      <c r="I171" s="378">
        <f t="shared" si="65"/>
        <v>21249.51917</v>
      </c>
      <c r="J171" s="378">
        <f t="shared" si="65"/>
        <v>21674.50955</v>
      </c>
      <c r="K171" s="378">
        <f t="shared" si="65"/>
        <v>22107.99974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379" t="s">
        <v>378</v>
      </c>
      <c r="B172" s="381"/>
      <c r="C172" s="381">
        <v>4.0</v>
      </c>
      <c r="D172" s="381">
        <v>4.0</v>
      </c>
      <c r="E172" s="381">
        <v>4.0</v>
      </c>
      <c r="F172" s="381">
        <v>4.0</v>
      </c>
      <c r="G172" s="381">
        <v>4.0</v>
      </c>
      <c r="H172" s="381">
        <v>4.0</v>
      </c>
      <c r="I172" s="381">
        <v>4.0</v>
      </c>
      <c r="J172" s="381">
        <v>4.0</v>
      </c>
      <c r="K172" s="381">
        <v>4.0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 t="s">
        <v>398</v>
      </c>
      <c r="B173" s="91"/>
      <c r="C173" s="385">
        <v>56100.0</v>
      </c>
      <c r="D173" s="86">
        <f t="shared" ref="D173:K173" si="66">C173*(1+D174)</f>
        <v>57222</v>
      </c>
      <c r="E173" s="86">
        <f t="shared" si="66"/>
        <v>58366.44</v>
      </c>
      <c r="F173" s="86">
        <f t="shared" si="66"/>
        <v>59533.7688</v>
      </c>
      <c r="G173" s="86">
        <f t="shared" si="66"/>
        <v>60724.44418</v>
      </c>
      <c r="H173" s="86">
        <f t="shared" si="66"/>
        <v>61938.93306</v>
      </c>
      <c r="I173" s="86">
        <f t="shared" si="66"/>
        <v>63177.71172</v>
      </c>
      <c r="J173" s="86">
        <f t="shared" si="66"/>
        <v>64441.26596</v>
      </c>
      <c r="K173" s="86">
        <f t="shared" si="66"/>
        <v>65730.09127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29" t="s">
        <v>61</v>
      </c>
      <c r="B174" s="83"/>
      <c r="C174" s="83"/>
      <c r="D174" s="83">
        <v>0.02</v>
      </c>
      <c r="E174" s="83">
        <v>0.02</v>
      </c>
      <c r="F174" s="83">
        <v>0.02</v>
      </c>
      <c r="G174" s="83">
        <v>0.02</v>
      </c>
      <c r="H174" s="83">
        <v>0.02</v>
      </c>
      <c r="I174" s="83">
        <v>0.02</v>
      </c>
      <c r="J174" s="83">
        <v>0.02</v>
      </c>
      <c r="K174" s="83">
        <v>0.02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29" t="s">
        <v>377</v>
      </c>
      <c r="B175" s="182"/>
      <c r="C175" s="182">
        <f t="shared" ref="C175:K175" si="67">CHOOSE(C176,C$45,C$46,C$47,C$48)</f>
        <v>18868.9649</v>
      </c>
      <c r="D175" s="182">
        <f t="shared" si="67"/>
        <v>19246.3442</v>
      </c>
      <c r="E175" s="182">
        <f t="shared" si="67"/>
        <v>19631.27109</v>
      </c>
      <c r="F175" s="182">
        <f t="shared" si="67"/>
        <v>20023.89651</v>
      </c>
      <c r="G175" s="182">
        <f t="shared" si="67"/>
        <v>20424.37444</v>
      </c>
      <c r="H175" s="182">
        <f t="shared" si="67"/>
        <v>20832.86193</v>
      </c>
      <c r="I175" s="182">
        <f t="shared" si="67"/>
        <v>21249.51917</v>
      </c>
      <c r="J175" s="182">
        <f t="shared" si="67"/>
        <v>21674.50955</v>
      </c>
      <c r="K175" s="182">
        <f t="shared" si="67"/>
        <v>22107.99974</v>
      </c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63" t="s">
        <v>378</v>
      </c>
      <c r="B176" s="372"/>
      <c r="C176" s="372">
        <v>4.0</v>
      </c>
      <c r="D176" s="372">
        <v>4.0</v>
      </c>
      <c r="E176" s="372">
        <v>4.0</v>
      </c>
      <c r="F176" s="372">
        <v>4.0</v>
      </c>
      <c r="G176" s="372">
        <v>4.0</v>
      </c>
      <c r="H176" s="372">
        <v>4.0</v>
      </c>
      <c r="I176" s="372">
        <v>4.0</v>
      </c>
      <c r="J176" s="372">
        <v>4.0</v>
      </c>
      <c r="K176" s="372">
        <v>4.0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 t="s">
        <v>399</v>
      </c>
      <c r="B177" s="91"/>
      <c r="C177" s="385">
        <v>56100.0</v>
      </c>
      <c r="D177" s="86">
        <f t="shared" ref="D177:K177" si="68">C177*(1+D178)</f>
        <v>57222</v>
      </c>
      <c r="E177" s="86">
        <f t="shared" si="68"/>
        <v>58366.44</v>
      </c>
      <c r="F177" s="86">
        <f t="shared" si="68"/>
        <v>59533.7688</v>
      </c>
      <c r="G177" s="86">
        <f t="shared" si="68"/>
        <v>60724.44418</v>
      </c>
      <c r="H177" s="86">
        <f t="shared" si="68"/>
        <v>61938.93306</v>
      </c>
      <c r="I177" s="86">
        <f t="shared" si="68"/>
        <v>63177.71172</v>
      </c>
      <c r="J177" s="86">
        <f t="shared" si="68"/>
        <v>64441.26596</v>
      </c>
      <c r="K177" s="86">
        <f t="shared" si="68"/>
        <v>65730.09127</v>
      </c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29" t="s">
        <v>61</v>
      </c>
      <c r="B178" s="83"/>
      <c r="C178" s="83"/>
      <c r="D178" s="83">
        <v>0.02</v>
      </c>
      <c r="E178" s="83">
        <v>0.02</v>
      </c>
      <c r="F178" s="83">
        <v>0.02</v>
      </c>
      <c r="G178" s="83">
        <v>0.02</v>
      </c>
      <c r="H178" s="83">
        <v>0.02</v>
      </c>
      <c r="I178" s="83">
        <v>0.02</v>
      </c>
      <c r="J178" s="83">
        <v>0.02</v>
      </c>
      <c r="K178" s="83">
        <v>0.02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29" t="s">
        <v>377</v>
      </c>
      <c r="B179" s="182"/>
      <c r="C179" s="182">
        <f t="shared" ref="C179:K179" si="69">CHOOSE(C180,C$45,C$46,C$47,C$48)</f>
        <v>11760.02615</v>
      </c>
      <c r="D179" s="182">
        <f t="shared" si="69"/>
        <v>11995.22667</v>
      </c>
      <c r="E179" s="182">
        <f t="shared" si="69"/>
        <v>12235.1312</v>
      </c>
      <c r="F179" s="182">
        <f t="shared" si="69"/>
        <v>12479.83383</v>
      </c>
      <c r="G179" s="182">
        <f t="shared" si="69"/>
        <v>12729.43051</v>
      </c>
      <c r="H179" s="182">
        <f t="shared" si="69"/>
        <v>12984.01912</v>
      </c>
      <c r="I179" s="182">
        <f t="shared" si="69"/>
        <v>13243.6995</v>
      </c>
      <c r="J179" s="182">
        <f t="shared" si="69"/>
        <v>13508.57349</v>
      </c>
      <c r="K179" s="182">
        <f t="shared" si="69"/>
        <v>13778.74496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63" t="s">
        <v>378</v>
      </c>
      <c r="B180" s="372"/>
      <c r="C180" s="372">
        <v>2.0</v>
      </c>
      <c r="D180" s="372">
        <v>2.0</v>
      </c>
      <c r="E180" s="372">
        <v>2.0</v>
      </c>
      <c r="F180" s="372">
        <v>2.0</v>
      </c>
      <c r="G180" s="372">
        <v>2.0</v>
      </c>
      <c r="H180" s="372">
        <v>2.0</v>
      </c>
      <c r="I180" s="372">
        <v>2.0</v>
      </c>
      <c r="J180" s="372">
        <v>2.0</v>
      </c>
      <c r="K180" s="372">
        <v>2.0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48" t="s">
        <v>405</v>
      </c>
      <c r="B182" s="137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 t="s">
        <v>401</v>
      </c>
      <c r="B183" s="91"/>
      <c r="C183" s="91"/>
      <c r="D183" s="91">
        <v>57222.0</v>
      </c>
      <c r="E183" s="86">
        <f t="shared" ref="E183:K183" si="70">D183*(1+E184)</f>
        <v>58366.44</v>
      </c>
      <c r="F183" s="86">
        <f t="shared" si="70"/>
        <v>59533.7688</v>
      </c>
      <c r="G183" s="86">
        <f t="shared" si="70"/>
        <v>60724.44418</v>
      </c>
      <c r="H183" s="86">
        <f t="shared" si="70"/>
        <v>61938.93306</v>
      </c>
      <c r="I183" s="86">
        <f t="shared" si="70"/>
        <v>63177.71172</v>
      </c>
      <c r="J183" s="86">
        <f t="shared" si="70"/>
        <v>64441.26596</v>
      </c>
      <c r="K183" s="86">
        <f t="shared" si="70"/>
        <v>65730.09127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29" t="s">
        <v>61</v>
      </c>
      <c r="B184" s="83"/>
      <c r="C184" s="83"/>
      <c r="D184" s="83"/>
      <c r="E184" s="83">
        <v>0.02</v>
      </c>
      <c r="F184" s="83">
        <v>0.02</v>
      </c>
      <c r="G184" s="83">
        <v>0.02</v>
      </c>
      <c r="H184" s="83">
        <v>0.02</v>
      </c>
      <c r="I184" s="83">
        <v>0.02</v>
      </c>
      <c r="J184" s="83">
        <v>0.02</v>
      </c>
      <c r="K184" s="83">
        <v>0.02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29" t="s">
        <v>377</v>
      </c>
      <c r="B185" s="182"/>
      <c r="C185" s="182"/>
      <c r="D185" s="182">
        <f t="shared" ref="D185:K185" si="71">CHOOSE(D186,D$45,D$46,D$47,D$48)</f>
        <v>7294.2444</v>
      </c>
      <c r="E185" s="182">
        <f t="shared" si="71"/>
        <v>7440.129288</v>
      </c>
      <c r="F185" s="182">
        <f t="shared" si="71"/>
        <v>7588.931874</v>
      </c>
      <c r="G185" s="182">
        <f t="shared" si="71"/>
        <v>7740.710511</v>
      </c>
      <c r="H185" s="182">
        <f t="shared" si="71"/>
        <v>7895.524721</v>
      </c>
      <c r="I185" s="182">
        <f t="shared" si="71"/>
        <v>8053.435216</v>
      </c>
      <c r="J185" s="182">
        <f t="shared" si="71"/>
        <v>8214.50392</v>
      </c>
      <c r="K185" s="182">
        <f t="shared" si="71"/>
        <v>8378.793999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63" t="s">
        <v>378</v>
      </c>
      <c r="B186" s="372"/>
      <c r="C186" s="372"/>
      <c r="D186" s="372">
        <v>1.0</v>
      </c>
      <c r="E186" s="372">
        <v>1.0</v>
      </c>
      <c r="F186" s="372">
        <v>1.0</v>
      </c>
      <c r="G186" s="372">
        <v>1.0</v>
      </c>
      <c r="H186" s="372">
        <v>1.0</v>
      </c>
      <c r="I186" s="372">
        <v>1.0</v>
      </c>
      <c r="J186" s="372">
        <v>1.0</v>
      </c>
      <c r="K186" s="372">
        <v>1.0</v>
      </c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373" t="s">
        <v>402</v>
      </c>
      <c r="B187" s="383"/>
      <c r="C187" s="383"/>
      <c r="D187" s="383">
        <v>57222.0</v>
      </c>
      <c r="E187" s="375">
        <f t="shared" ref="E187:K187" si="72">D187*(1+E188)</f>
        <v>58366.44</v>
      </c>
      <c r="F187" s="375">
        <f t="shared" si="72"/>
        <v>59533.7688</v>
      </c>
      <c r="G187" s="375">
        <f t="shared" si="72"/>
        <v>60724.44418</v>
      </c>
      <c r="H187" s="375">
        <f t="shared" si="72"/>
        <v>61938.93306</v>
      </c>
      <c r="I187" s="375">
        <f t="shared" si="72"/>
        <v>63177.71172</v>
      </c>
      <c r="J187" s="375">
        <f t="shared" si="72"/>
        <v>64441.26596</v>
      </c>
      <c r="K187" s="375">
        <f t="shared" si="72"/>
        <v>65730.09127</v>
      </c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376" t="s">
        <v>61</v>
      </c>
      <c r="B188" s="377"/>
      <c r="C188" s="377"/>
      <c r="D188" s="377"/>
      <c r="E188" s="377">
        <v>0.02</v>
      </c>
      <c r="F188" s="377">
        <v>0.02</v>
      </c>
      <c r="G188" s="377">
        <v>0.02</v>
      </c>
      <c r="H188" s="377">
        <v>0.02</v>
      </c>
      <c r="I188" s="377">
        <v>0.02</v>
      </c>
      <c r="J188" s="377">
        <v>0.02</v>
      </c>
      <c r="K188" s="377">
        <v>0.02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376" t="s">
        <v>377</v>
      </c>
      <c r="B189" s="378"/>
      <c r="C189" s="378"/>
      <c r="D189" s="378">
        <f t="shared" ref="D189:K189" si="73">CHOOSE(D190,D$45,D$46,D$47,D$48)</f>
        <v>11995.22667</v>
      </c>
      <c r="E189" s="378">
        <f t="shared" si="73"/>
        <v>12235.1312</v>
      </c>
      <c r="F189" s="378">
        <f t="shared" si="73"/>
        <v>12479.83383</v>
      </c>
      <c r="G189" s="378">
        <f t="shared" si="73"/>
        <v>12729.43051</v>
      </c>
      <c r="H189" s="378">
        <f t="shared" si="73"/>
        <v>12984.01912</v>
      </c>
      <c r="I189" s="378">
        <f t="shared" si="73"/>
        <v>13243.6995</v>
      </c>
      <c r="J189" s="378">
        <f t="shared" si="73"/>
        <v>13508.57349</v>
      </c>
      <c r="K189" s="378">
        <f t="shared" si="73"/>
        <v>13778.74496</v>
      </c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379" t="s">
        <v>378</v>
      </c>
      <c r="B190" s="381"/>
      <c r="C190" s="381"/>
      <c r="D190" s="381">
        <v>2.0</v>
      </c>
      <c r="E190" s="381">
        <v>2.0</v>
      </c>
      <c r="F190" s="381">
        <v>2.0</v>
      </c>
      <c r="G190" s="381">
        <v>2.0</v>
      </c>
      <c r="H190" s="381">
        <v>2.0</v>
      </c>
      <c r="I190" s="381">
        <v>2.0</v>
      </c>
      <c r="J190" s="381">
        <v>2.0</v>
      </c>
      <c r="K190" s="381">
        <v>2.0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 t="s">
        <v>403</v>
      </c>
      <c r="B191" s="91"/>
      <c r="C191" s="91"/>
      <c r="D191" s="91">
        <v>57222.0</v>
      </c>
      <c r="E191" s="86">
        <f t="shared" ref="E191:K191" si="74">D191*(1+E192)</f>
        <v>58366.44</v>
      </c>
      <c r="F191" s="86">
        <f t="shared" si="74"/>
        <v>59533.7688</v>
      </c>
      <c r="G191" s="86">
        <f t="shared" si="74"/>
        <v>60724.44418</v>
      </c>
      <c r="H191" s="86">
        <f t="shared" si="74"/>
        <v>61938.93306</v>
      </c>
      <c r="I191" s="86">
        <f t="shared" si="74"/>
        <v>63177.71172</v>
      </c>
      <c r="J191" s="86">
        <f t="shared" si="74"/>
        <v>64441.26596</v>
      </c>
      <c r="K191" s="86">
        <f t="shared" si="74"/>
        <v>65730.09127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29" t="s">
        <v>61</v>
      </c>
      <c r="B192" s="83"/>
      <c r="C192" s="83"/>
      <c r="D192" s="83"/>
      <c r="E192" s="83">
        <v>0.02</v>
      </c>
      <c r="F192" s="83">
        <v>0.02</v>
      </c>
      <c r="G192" s="83">
        <v>0.02</v>
      </c>
      <c r="H192" s="83">
        <v>0.02</v>
      </c>
      <c r="I192" s="83">
        <v>0.02</v>
      </c>
      <c r="J192" s="83">
        <v>0.02</v>
      </c>
      <c r="K192" s="83">
        <v>0.02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29" t="s">
        <v>377</v>
      </c>
      <c r="B193" s="182"/>
      <c r="C193" s="182"/>
      <c r="D193" s="182">
        <f t="shared" ref="D193:K193" si="75">CHOOSE(D194,D$45,D$46,D$47,D$48)</f>
        <v>15851.86878</v>
      </c>
      <c r="E193" s="182">
        <f t="shared" si="75"/>
        <v>16168.90616</v>
      </c>
      <c r="F193" s="182">
        <f t="shared" si="75"/>
        <v>16492.28428</v>
      </c>
      <c r="G193" s="182">
        <f t="shared" si="75"/>
        <v>16822.12997</v>
      </c>
      <c r="H193" s="182">
        <f t="shared" si="75"/>
        <v>17158.57257</v>
      </c>
      <c r="I193" s="182">
        <f t="shared" si="75"/>
        <v>17501.74402</v>
      </c>
      <c r="J193" s="182">
        <f t="shared" si="75"/>
        <v>17851.7789</v>
      </c>
      <c r="K193" s="182">
        <f t="shared" si="75"/>
        <v>18208.81448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63" t="s">
        <v>378</v>
      </c>
      <c r="B194" s="372"/>
      <c r="C194" s="372"/>
      <c r="D194" s="372">
        <v>3.0</v>
      </c>
      <c r="E194" s="372">
        <v>3.0</v>
      </c>
      <c r="F194" s="372">
        <v>3.0</v>
      </c>
      <c r="G194" s="372">
        <v>3.0</v>
      </c>
      <c r="H194" s="372">
        <v>3.0</v>
      </c>
      <c r="I194" s="372">
        <v>3.0</v>
      </c>
      <c r="J194" s="372">
        <v>3.0</v>
      </c>
      <c r="K194" s="372">
        <v>3.0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373" t="s">
        <v>404</v>
      </c>
      <c r="B195" s="383"/>
      <c r="C195" s="383"/>
      <c r="D195" s="383">
        <v>57222.0</v>
      </c>
      <c r="E195" s="375">
        <f t="shared" ref="E195:K195" si="76">D195*(1+E196)</f>
        <v>58366.44</v>
      </c>
      <c r="F195" s="375">
        <f t="shared" si="76"/>
        <v>59533.7688</v>
      </c>
      <c r="G195" s="375">
        <f t="shared" si="76"/>
        <v>60724.44418</v>
      </c>
      <c r="H195" s="375">
        <f t="shared" si="76"/>
        <v>61938.93306</v>
      </c>
      <c r="I195" s="375">
        <f t="shared" si="76"/>
        <v>63177.71172</v>
      </c>
      <c r="J195" s="375">
        <f t="shared" si="76"/>
        <v>64441.26596</v>
      </c>
      <c r="K195" s="375">
        <f t="shared" si="76"/>
        <v>65730.09127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376" t="s">
        <v>61</v>
      </c>
      <c r="B196" s="377"/>
      <c r="C196" s="377"/>
      <c r="D196" s="377"/>
      <c r="E196" s="377">
        <v>0.02</v>
      </c>
      <c r="F196" s="377">
        <v>0.02</v>
      </c>
      <c r="G196" s="377">
        <v>0.02</v>
      </c>
      <c r="H196" s="377">
        <v>0.02</v>
      </c>
      <c r="I196" s="377">
        <v>0.02</v>
      </c>
      <c r="J196" s="377">
        <v>0.02</v>
      </c>
      <c r="K196" s="377">
        <v>0.02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376" t="s">
        <v>377</v>
      </c>
      <c r="B197" s="378"/>
      <c r="C197" s="378"/>
      <c r="D197" s="378">
        <f t="shared" ref="D197:K197" si="77">CHOOSE(D198,D$45,D$46,D$47,D$48)</f>
        <v>19246.3442</v>
      </c>
      <c r="E197" s="378">
        <f t="shared" si="77"/>
        <v>19631.27109</v>
      </c>
      <c r="F197" s="378">
        <f t="shared" si="77"/>
        <v>20023.89651</v>
      </c>
      <c r="G197" s="378">
        <f t="shared" si="77"/>
        <v>20424.37444</v>
      </c>
      <c r="H197" s="378">
        <f t="shared" si="77"/>
        <v>20832.86193</v>
      </c>
      <c r="I197" s="378">
        <f t="shared" si="77"/>
        <v>21249.51917</v>
      </c>
      <c r="J197" s="378">
        <f t="shared" si="77"/>
        <v>21674.50955</v>
      </c>
      <c r="K197" s="378">
        <f t="shared" si="77"/>
        <v>22107.99974</v>
      </c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379" t="s">
        <v>378</v>
      </c>
      <c r="B198" s="381"/>
      <c r="C198" s="381"/>
      <c r="D198" s="381">
        <v>4.0</v>
      </c>
      <c r="E198" s="381">
        <v>4.0</v>
      </c>
      <c r="F198" s="381">
        <v>4.0</v>
      </c>
      <c r="G198" s="381">
        <v>4.0</v>
      </c>
      <c r="H198" s="381">
        <v>4.0</v>
      </c>
      <c r="I198" s="381">
        <v>4.0</v>
      </c>
      <c r="J198" s="381">
        <v>4.0</v>
      </c>
      <c r="K198" s="381">
        <v>4.0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 t="s">
        <v>398</v>
      </c>
      <c r="B199" s="91"/>
      <c r="C199" s="91"/>
      <c r="D199" s="385">
        <v>57222.0</v>
      </c>
      <c r="E199" s="86">
        <f t="shared" ref="E199:K199" si="78">D199*(1+E200)</f>
        <v>58366.44</v>
      </c>
      <c r="F199" s="86">
        <f t="shared" si="78"/>
        <v>59533.7688</v>
      </c>
      <c r="G199" s="86">
        <f t="shared" si="78"/>
        <v>60724.44418</v>
      </c>
      <c r="H199" s="86">
        <f t="shared" si="78"/>
        <v>61938.93306</v>
      </c>
      <c r="I199" s="86">
        <f t="shared" si="78"/>
        <v>63177.71172</v>
      </c>
      <c r="J199" s="86">
        <f t="shared" si="78"/>
        <v>64441.26596</v>
      </c>
      <c r="K199" s="86">
        <f t="shared" si="78"/>
        <v>65730.09127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29" t="s">
        <v>61</v>
      </c>
      <c r="B200" s="83"/>
      <c r="C200" s="83"/>
      <c r="D200" s="83"/>
      <c r="E200" s="83">
        <v>0.02</v>
      </c>
      <c r="F200" s="83">
        <v>0.02</v>
      </c>
      <c r="G200" s="83">
        <v>0.02</v>
      </c>
      <c r="H200" s="83">
        <v>0.02</v>
      </c>
      <c r="I200" s="83">
        <v>0.02</v>
      </c>
      <c r="J200" s="83">
        <v>0.02</v>
      </c>
      <c r="K200" s="83">
        <v>0.02</v>
      </c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29" t="s">
        <v>377</v>
      </c>
      <c r="B201" s="182"/>
      <c r="C201" s="182"/>
      <c r="D201" s="182">
        <f t="shared" ref="D201:K201" si="79">CHOOSE(D202,D$45,D$46,D$47,D$48)</f>
        <v>19246.3442</v>
      </c>
      <c r="E201" s="182">
        <f t="shared" si="79"/>
        <v>19631.27109</v>
      </c>
      <c r="F201" s="182">
        <f t="shared" si="79"/>
        <v>20023.89651</v>
      </c>
      <c r="G201" s="182">
        <f t="shared" si="79"/>
        <v>20424.37444</v>
      </c>
      <c r="H201" s="182">
        <f t="shared" si="79"/>
        <v>20832.86193</v>
      </c>
      <c r="I201" s="182">
        <f t="shared" si="79"/>
        <v>21249.51917</v>
      </c>
      <c r="J201" s="182">
        <f t="shared" si="79"/>
        <v>21674.50955</v>
      </c>
      <c r="K201" s="182">
        <f t="shared" si="79"/>
        <v>22107.99974</v>
      </c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63" t="s">
        <v>378</v>
      </c>
      <c r="B202" s="372"/>
      <c r="C202" s="372"/>
      <c r="D202" s="372">
        <v>4.0</v>
      </c>
      <c r="E202" s="372">
        <v>4.0</v>
      </c>
      <c r="F202" s="372">
        <v>4.0</v>
      </c>
      <c r="G202" s="372">
        <v>4.0</v>
      </c>
      <c r="H202" s="372">
        <v>4.0</v>
      </c>
      <c r="I202" s="372">
        <v>4.0</v>
      </c>
      <c r="J202" s="372">
        <v>4.0</v>
      </c>
      <c r="K202" s="372">
        <v>4.0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 t="s">
        <v>399</v>
      </c>
      <c r="B203" s="91"/>
      <c r="C203" s="91"/>
      <c r="D203" s="385">
        <v>57222.0</v>
      </c>
      <c r="E203" s="86">
        <f t="shared" ref="E203:K203" si="80">D203*(1+E204)</f>
        <v>58366.44</v>
      </c>
      <c r="F203" s="86">
        <f t="shared" si="80"/>
        <v>59533.7688</v>
      </c>
      <c r="G203" s="86">
        <f t="shared" si="80"/>
        <v>60724.44418</v>
      </c>
      <c r="H203" s="86">
        <f t="shared" si="80"/>
        <v>61938.93306</v>
      </c>
      <c r="I203" s="86">
        <f t="shared" si="80"/>
        <v>63177.71172</v>
      </c>
      <c r="J203" s="86">
        <f t="shared" si="80"/>
        <v>64441.26596</v>
      </c>
      <c r="K203" s="86">
        <f t="shared" si="80"/>
        <v>65730.09127</v>
      </c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29" t="s">
        <v>61</v>
      </c>
      <c r="B204" s="83"/>
      <c r="C204" s="83"/>
      <c r="D204" s="83"/>
      <c r="E204" s="83">
        <v>0.02</v>
      </c>
      <c r="F204" s="83">
        <v>0.02</v>
      </c>
      <c r="G204" s="83">
        <v>0.02</v>
      </c>
      <c r="H204" s="83">
        <v>0.02</v>
      </c>
      <c r="I204" s="83">
        <v>0.02</v>
      </c>
      <c r="J204" s="83">
        <v>0.02</v>
      </c>
      <c r="K204" s="83">
        <v>0.02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29" t="s">
        <v>377</v>
      </c>
      <c r="B205" s="182"/>
      <c r="C205" s="182"/>
      <c r="D205" s="182">
        <f t="shared" ref="D205:K205" si="81">CHOOSE(D206,D$45,D$46,D$47,D$48)</f>
        <v>11995.22667</v>
      </c>
      <c r="E205" s="182">
        <f t="shared" si="81"/>
        <v>12235.1312</v>
      </c>
      <c r="F205" s="182">
        <f t="shared" si="81"/>
        <v>12479.83383</v>
      </c>
      <c r="G205" s="182">
        <f t="shared" si="81"/>
        <v>12729.43051</v>
      </c>
      <c r="H205" s="182">
        <f t="shared" si="81"/>
        <v>12984.01912</v>
      </c>
      <c r="I205" s="182">
        <f t="shared" si="81"/>
        <v>13243.6995</v>
      </c>
      <c r="J205" s="182">
        <f t="shared" si="81"/>
        <v>13508.57349</v>
      </c>
      <c r="K205" s="182">
        <f t="shared" si="81"/>
        <v>13778.74496</v>
      </c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63" t="s">
        <v>378</v>
      </c>
      <c r="B206" s="372"/>
      <c r="C206" s="372"/>
      <c r="D206" s="372">
        <v>2.0</v>
      </c>
      <c r="E206" s="372">
        <v>2.0</v>
      </c>
      <c r="F206" s="372">
        <v>2.0</v>
      </c>
      <c r="G206" s="372">
        <v>2.0</v>
      </c>
      <c r="H206" s="372">
        <v>2.0</v>
      </c>
      <c r="I206" s="372">
        <v>2.0</v>
      </c>
      <c r="J206" s="372">
        <v>2.0</v>
      </c>
      <c r="K206" s="372">
        <v>2.0</v>
      </c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48" t="s">
        <v>406</v>
      </c>
      <c r="B208" s="137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 t="s">
        <v>401</v>
      </c>
      <c r="B209" s="91"/>
      <c r="C209" s="91"/>
      <c r="D209" s="91"/>
      <c r="E209" s="91">
        <v>58366.44</v>
      </c>
      <c r="F209" s="86">
        <f t="shared" ref="F209:K209" si="82">E209*(1+F210)</f>
        <v>59533.7688</v>
      </c>
      <c r="G209" s="86">
        <f t="shared" si="82"/>
        <v>60724.44418</v>
      </c>
      <c r="H209" s="86">
        <f t="shared" si="82"/>
        <v>61938.93306</v>
      </c>
      <c r="I209" s="86">
        <f t="shared" si="82"/>
        <v>63177.71172</v>
      </c>
      <c r="J209" s="86">
        <f t="shared" si="82"/>
        <v>64441.26596</v>
      </c>
      <c r="K209" s="86">
        <f t="shared" si="82"/>
        <v>65730.09127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29" t="s">
        <v>61</v>
      </c>
      <c r="B210" s="83"/>
      <c r="C210" s="83"/>
      <c r="D210" s="83"/>
      <c r="E210" s="83"/>
      <c r="F210" s="83">
        <v>0.02</v>
      </c>
      <c r="G210" s="83">
        <v>0.02</v>
      </c>
      <c r="H210" s="83">
        <v>0.02</v>
      </c>
      <c r="I210" s="83">
        <v>0.02</v>
      </c>
      <c r="J210" s="83">
        <v>0.02</v>
      </c>
      <c r="K210" s="83">
        <v>0.02</v>
      </c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29" t="s">
        <v>377</v>
      </c>
      <c r="B211" s="182"/>
      <c r="C211" s="182"/>
      <c r="D211" s="182"/>
      <c r="E211" s="182">
        <f t="shared" ref="E211:K211" si="83">CHOOSE(E212,E$45,E$46,E$47,E$48)</f>
        <v>7440.129288</v>
      </c>
      <c r="F211" s="182">
        <f t="shared" si="83"/>
        <v>7588.931874</v>
      </c>
      <c r="G211" s="182">
        <f t="shared" si="83"/>
        <v>7740.710511</v>
      </c>
      <c r="H211" s="182">
        <f t="shared" si="83"/>
        <v>7895.524721</v>
      </c>
      <c r="I211" s="182">
        <f t="shared" si="83"/>
        <v>8053.435216</v>
      </c>
      <c r="J211" s="182">
        <f t="shared" si="83"/>
        <v>8214.50392</v>
      </c>
      <c r="K211" s="182">
        <f t="shared" si="83"/>
        <v>8378.793999</v>
      </c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63" t="s">
        <v>378</v>
      </c>
      <c r="B212" s="372"/>
      <c r="C212" s="372"/>
      <c r="D212" s="372"/>
      <c r="E212" s="372">
        <v>1.0</v>
      </c>
      <c r="F212" s="372">
        <v>1.0</v>
      </c>
      <c r="G212" s="372">
        <v>1.0</v>
      </c>
      <c r="H212" s="372">
        <v>1.0</v>
      </c>
      <c r="I212" s="372">
        <v>1.0</v>
      </c>
      <c r="J212" s="372">
        <v>1.0</v>
      </c>
      <c r="K212" s="372">
        <v>1.0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373" t="s">
        <v>402</v>
      </c>
      <c r="B213" s="383"/>
      <c r="C213" s="383"/>
      <c r="D213" s="383"/>
      <c r="E213" s="383">
        <v>58366.44</v>
      </c>
      <c r="F213" s="375">
        <f t="shared" ref="F213:K213" si="84">E213*(1+F214)</f>
        <v>59533.7688</v>
      </c>
      <c r="G213" s="375">
        <f t="shared" si="84"/>
        <v>60724.44418</v>
      </c>
      <c r="H213" s="375">
        <f t="shared" si="84"/>
        <v>61938.93306</v>
      </c>
      <c r="I213" s="375">
        <f t="shared" si="84"/>
        <v>63177.71172</v>
      </c>
      <c r="J213" s="375">
        <f t="shared" si="84"/>
        <v>64441.26596</v>
      </c>
      <c r="K213" s="375">
        <f t="shared" si="84"/>
        <v>65730.09127</v>
      </c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376" t="s">
        <v>61</v>
      </c>
      <c r="B214" s="377"/>
      <c r="C214" s="377"/>
      <c r="D214" s="377"/>
      <c r="E214" s="377"/>
      <c r="F214" s="377">
        <v>0.02</v>
      </c>
      <c r="G214" s="377">
        <v>0.02</v>
      </c>
      <c r="H214" s="377">
        <v>0.02</v>
      </c>
      <c r="I214" s="377">
        <v>0.02</v>
      </c>
      <c r="J214" s="377">
        <v>0.02</v>
      </c>
      <c r="K214" s="377">
        <v>0.02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376" t="s">
        <v>377</v>
      </c>
      <c r="B215" s="378"/>
      <c r="C215" s="378"/>
      <c r="D215" s="378"/>
      <c r="E215" s="378">
        <f t="shared" ref="E215:K215" si="85">CHOOSE(E216,E$45,E$46,E$47,E$48)</f>
        <v>12235.1312</v>
      </c>
      <c r="F215" s="378">
        <f t="shared" si="85"/>
        <v>12479.83383</v>
      </c>
      <c r="G215" s="378">
        <f t="shared" si="85"/>
        <v>12729.43051</v>
      </c>
      <c r="H215" s="378">
        <f t="shared" si="85"/>
        <v>12984.01912</v>
      </c>
      <c r="I215" s="378">
        <f t="shared" si="85"/>
        <v>13243.6995</v>
      </c>
      <c r="J215" s="378">
        <f t="shared" si="85"/>
        <v>13508.57349</v>
      </c>
      <c r="K215" s="378">
        <f t="shared" si="85"/>
        <v>13778.74496</v>
      </c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379" t="s">
        <v>378</v>
      </c>
      <c r="B216" s="381"/>
      <c r="C216" s="381"/>
      <c r="D216" s="381"/>
      <c r="E216" s="381">
        <v>2.0</v>
      </c>
      <c r="F216" s="381">
        <v>2.0</v>
      </c>
      <c r="G216" s="381">
        <v>2.0</v>
      </c>
      <c r="H216" s="381">
        <v>2.0</v>
      </c>
      <c r="I216" s="381">
        <v>2.0</v>
      </c>
      <c r="J216" s="381">
        <v>2.0</v>
      </c>
      <c r="K216" s="381">
        <v>2.0</v>
      </c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 t="s">
        <v>403</v>
      </c>
      <c r="B217" s="91"/>
      <c r="C217" s="91"/>
      <c r="D217" s="91"/>
      <c r="E217" s="91">
        <v>58366.44</v>
      </c>
      <c r="F217" s="86">
        <f t="shared" ref="F217:K217" si="86">E217*(1+F218)</f>
        <v>59533.7688</v>
      </c>
      <c r="G217" s="86">
        <f t="shared" si="86"/>
        <v>60724.44418</v>
      </c>
      <c r="H217" s="86">
        <f t="shared" si="86"/>
        <v>61938.93306</v>
      </c>
      <c r="I217" s="86">
        <f t="shared" si="86"/>
        <v>63177.71172</v>
      </c>
      <c r="J217" s="86">
        <f t="shared" si="86"/>
        <v>64441.26596</v>
      </c>
      <c r="K217" s="86">
        <f t="shared" si="86"/>
        <v>65730.09127</v>
      </c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29" t="s">
        <v>61</v>
      </c>
      <c r="B218" s="83"/>
      <c r="C218" s="83"/>
      <c r="D218" s="83"/>
      <c r="E218" s="83"/>
      <c r="F218" s="83">
        <v>0.02</v>
      </c>
      <c r="G218" s="83">
        <v>0.02</v>
      </c>
      <c r="H218" s="83">
        <v>0.02</v>
      </c>
      <c r="I218" s="83">
        <v>0.02</v>
      </c>
      <c r="J218" s="83">
        <v>0.02</v>
      </c>
      <c r="K218" s="83">
        <v>0.02</v>
      </c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29" t="s">
        <v>377</v>
      </c>
      <c r="B219" s="182"/>
      <c r="C219" s="182"/>
      <c r="D219" s="182"/>
      <c r="E219" s="182">
        <f t="shared" ref="E219:K219" si="87">CHOOSE(E220,E$45,E$46,E$47,E$48)</f>
        <v>16168.90616</v>
      </c>
      <c r="F219" s="182">
        <f t="shared" si="87"/>
        <v>16492.28428</v>
      </c>
      <c r="G219" s="182">
        <f t="shared" si="87"/>
        <v>16822.12997</v>
      </c>
      <c r="H219" s="182">
        <f t="shared" si="87"/>
        <v>17158.57257</v>
      </c>
      <c r="I219" s="182">
        <f t="shared" si="87"/>
        <v>17501.74402</v>
      </c>
      <c r="J219" s="182">
        <f t="shared" si="87"/>
        <v>17851.7789</v>
      </c>
      <c r="K219" s="182">
        <f t="shared" si="87"/>
        <v>18208.81448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63" t="s">
        <v>378</v>
      </c>
      <c r="B220" s="372"/>
      <c r="C220" s="372"/>
      <c r="D220" s="372"/>
      <c r="E220" s="372">
        <v>3.0</v>
      </c>
      <c r="F220" s="372">
        <v>3.0</v>
      </c>
      <c r="G220" s="372">
        <v>3.0</v>
      </c>
      <c r="H220" s="372">
        <v>3.0</v>
      </c>
      <c r="I220" s="372">
        <v>3.0</v>
      </c>
      <c r="J220" s="372">
        <v>3.0</v>
      </c>
      <c r="K220" s="372">
        <v>3.0</v>
      </c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373" t="s">
        <v>404</v>
      </c>
      <c r="B221" s="383"/>
      <c r="C221" s="383"/>
      <c r="D221" s="383"/>
      <c r="E221" s="383">
        <v>58366.44</v>
      </c>
      <c r="F221" s="375">
        <f t="shared" ref="F221:K221" si="88">E221*(1+F222)</f>
        <v>59533.7688</v>
      </c>
      <c r="G221" s="375">
        <f t="shared" si="88"/>
        <v>60724.44418</v>
      </c>
      <c r="H221" s="375">
        <f t="shared" si="88"/>
        <v>61938.93306</v>
      </c>
      <c r="I221" s="375">
        <f t="shared" si="88"/>
        <v>63177.71172</v>
      </c>
      <c r="J221" s="375">
        <f t="shared" si="88"/>
        <v>64441.26596</v>
      </c>
      <c r="K221" s="375">
        <f t="shared" si="88"/>
        <v>65730.09127</v>
      </c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376" t="s">
        <v>61</v>
      </c>
      <c r="B222" s="377"/>
      <c r="C222" s="377"/>
      <c r="D222" s="377"/>
      <c r="E222" s="377"/>
      <c r="F222" s="377">
        <v>0.02</v>
      </c>
      <c r="G222" s="377">
        <v>0.02</v>
      </c>
      <c r="H222" s="377">
        <v>0.02</v>
      </c>
      <c r="I222" s="377">
        <v>0.02</v>
      </c>
      <c r="J222" s="377">
        <v>0.02</v>
      </c>
      <c r="K222" s="377">
        <v>0.02</v>
      </c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376" t="s">
        <v>377</v>
      </c>
      <c r="B223" s="378"/>
      <c r="C223" s="378"/>
      <c r="D223" s="378"/>
      <c r="E223" s="378">
        <f t="shared" ref="E223:K223" si="89">CHOOSE(E224,E$45,E$46,E$47,E$48)</f>
        <v>19631.27109</v>
      </c>
      <c r="F223" s="378">
        <f t="shared" si="89"/>
        <v>20023.89651</v>
      </c>
      <c r="G223" s="378">
        <f t="shared" si="89"/>
        <v>20424.37444</v>
      </c>
      <c r="H223" s="378">
        <f t="shared" si="89"/>
        <v>20832.86193</v>
      </c>
      <c r="I223" s="378">
        <f t="shared" si="89"/>
        <v>21249.51917</v>
      </c>
      <c r="J223" s="378">
        <f t="shared" si="89"/>
        <v>21674.50955</v>
      </c>
      <c r="K223" s="378">
        <f t="shared" si="89"/>
        <v>22107.99974</v>
      </c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379" t="s">
        <v>378</v>
      </c>
      <c r="B224" s="381"/>
      <c r="C224" s="381"/>
      <c r="D224" s="381"/>
      <c r="E224" s="381">
        <v>4.0</v>
      </c>
      <c r="F224" s="381">
        <v>4.0</v>
      </c>
      <c r="G224" s="381">
        <v>4.0</v>
      </c>
      <c r="H224" s="381">
        <v>4.0</v>
      </c>
      <c r="I224" s="381">
        <v>4.0</v>
      </c>
      <c r="J224" s="381">
        <v>4.0</v>
      </c>
      <c r="K224" s="381">
        <v>4.0</v>
      </c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 t="s">
        <v>398</v>
      </c>
      <c r="B225" s="91"/>
      <c r="C225" s="91"/>
      <c r="D225" s="91"/>
      <c r="E225" s="385">
        <v>58366.44</v>
      </c>
      <c r="F225" s="86">
        <f t="shared" ref="F225:K225" si="90">E225*(1+F226)</f>
        <v>59533.7688</v>
      </c>
      <c r="G225" s="86">
        <f t="shared" si="90"/>
        <v>60724.44418</v>
      </c>
      <c r="H225" s="86">
        <f t="shared" si="90"/>
        <v>61938.93306</v>
      </c>
      <c r="I225" s="86">
        <f t="shared" si="90"/>
        <v>63177.71172</v>
      </c>
      <c r="J225" s="86">
        <f t="shared" si="90"/>
        <v>64441.26596</v>
      </c>
      <c r="K225" s="86">
        <f t="shared" si="90"/>
        <v>65730.09127</v>
      </c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29" t="s">
        <v>61</v>
      </c>
      <c r="B226" s="83"/>
      <c r="C226" s="83"/>
      <c r="D226" s="83"/>
      <c r="E226" s="83"/>
      <c r="F226" s="83">
        <v>0.02</v>
      </c>
      <c r="G226" s="83">
        <v>0.02</v>
      </c>
      <c r="H226" s="83">
        <v>0.02</v>
      </c>
      <c r="I226" s="83">
        <v>0.02</v>
      </c>
      <c r="J226" s="83">
        <v>0.02</v>
      </c>
      <c r="K226" s="83">
        <v>0.02</v>
      </c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29" t="s">
        <v>377</v>
      </c>
      <c r="B227" s="182"/>
      <c r="C227" s="182"/>
      <c r="D227" s="182"/>
      <c r="E227" s="182">
        <f t="shared" ref="E227:K227" si="91">CHOOSE(E228,E$45,E$46,E$47,E$48)</f>
        <v>19631.27109</v>
      </c>
      <c r="F227" s="182">
        <f t="shared" si="91"/>
        <v>20023.89651</v>
      </c>
      <c r="G227" s="182">
        <f t="shared" si="91"/>
        <v>20424.37444</v>
      </c>
      <c r="H227" s="182">
        <f t="shared" si="91"/>
        <v>20832.86193</v>
      </c>
      <c r="I227" s="182">
        <f t="shared" si="91"/>
        <v>21249.51917</v>
      </c>
      <c r="J227" s="182">
        <f t="shared" si="91"/>
        <v>21674.50955</v>
      </c>
      <c r="K227" s="182">
        <f t="shared" si="91"/>
        <v>22107.99974</v>
      </c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63" t="s">
        <v>378</v>
      </c>
      <c r="B228" s="372"/>
      <c r="C228" s="372"/>
      <c r="D228" s="372"/>
      <c r="E228" s="372">
        <v>4.0</v>
      </c>
      <c r="F228" s="372">
        <v>4.0</v>
      </c>
      <c r="G228" s="372">
        <v>4.0</v>
      </c>
      <c r="H228" s="372">
        <v>4.0</v>
      </c>
      <c r="I228" s="372">
        <v>4.0</v>
      </c>
      <c r="J228" s="372">
        <v>4.0</v>
      </c>
      <c r="K228" s="372">
        <v>4.0</v>
      </c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 t="s">
        <v>399</v>
      </c>
      <c r="B229" s="91"/>
      <c r="C229" s="91"/>
      <c r="D229" s="91"/>
      <c r="E229" s="385">
        <v>58366.44</v>
      </c>
      <c r="F229" s="86">
        <f t="shared" ref="F229:K229" si="92">E229*(1+F230)</f>
        <v>59533.7688</v>
      </c>
      <c r="G229" s="86">
        <f t="shared" si="92"/>
        <v>60724.44418</v>
      </c>
      <c r="H229" s="86">
        <f t="shared" si="92"/>
        <v>61938.93306</v>
      </c>
      <c r="I229" s="86">
        <f t="shared" si="92"/>
        <v>63177.71172</v>
      </c>
      <c r="J229" s="86">
        <f t="shared" si="92"/>
        <v>64441.26596</v>
      </c>
      <c r="K229" s="86">
        <f t="shared" si="92"/>
        <v>65730.09127</v>
      </c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29" t="s">
        <v>61</v>
      </c>
      <c r="B230" s="83"/>
      <c r="C230" s="83"/>
      <c r="D230" s="83"/>
      <c r="E230" s="83"/>
      <c r="F230" s="83">
        <v>0.02</v>
      </c>
      <c r="G230" s="83">
        <v>0.02</v>
      </c>
      <c r="H230" s="83">
        <v>0.02</v>
      </c>
      <c r="I230" s="83">
        <v>0.02</v>
      </c>
      <c r="J230" s="83">
        <v>0.02</v>
      </c>
      <c r="K230" s="83">
        <v>0.02</v>
      </c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29" t="s">
        <v>377</v>
      </c>
      <c r="B231" s="182"/>
      <c r="C231" s="182"/>
      <c r="D231" s="182"/>
      <c r="E231" s="182">
        <f t="shared" ref="E231:K231" si="93">CHOOSE(E232,E$45,E$46,E$47,E$48)</f>
        <v>16168.90616</v>
      </c>
      <c r="F231" s="182">
        <f t="shared" si="93"/>
        <v>16492.28428</v>
      </c>
      <c r="G231" s="182">
        <f t="shared" si="93"/>
        <v>16822.12997</v>
      </c>
      <c r="H231" s="182">
        <f t="shared" si="93"/>
        <v>17158.57257</v>
      </c>
      <c r="I231" s="182">
        <f t="shared" si="93"/>
        <v>17501.74402</v>
      </c>
      <c r="J231" s="182">
        <f t="shared" si="93"/>
        <v>17851.7789</v>
      </c>
      <c r="K231" s="182">
        <f t="shared" si="93"/>
        <v>18208.81448</v>
      </c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63" t="s">
        <v>378</v>
      </c>
      <c r="B232" s="372"/>
      <c r="C232" s="372"/>
      <c r="D232" s="372"/>
      <c r="E232" s="372">
        <v>3.0</v>
      </c>
      <c r="F232" s="372">
        <v>3.0</v>
      </c>
      <c r="G232" s="372">
        <v>3.0</v>
      </c>
      <c r="H232" s="372">
        <v>3.0</v>
      </c>
      <c r="I232" s="372">
        <v>3.0</v>
      </c>
      <c r="J232" s="372">
        <v>3.0</v>
      </c>
      <c r="K232" s="372">
        <v>3.0</v>
      </c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48" t="s">
        <v>407</v>
      </c>
      <c r="B234" s="137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 t="s">
        <v>408</v>
      </c>
      <c r="B235" s="91"/>
      <c r="C235" s="91"/>
      <c r="D235" s="91"/>
      <c r="E235" s="91"/>
      <c r="F235" s="91">
        <v>59533.768800000005</v>
      </c>
      <c r="G235" s="86">
        <f t="shared" ref="G235:K235" si="94">F235*(1+G236)</f>
        <v>60724.44418</v>
      </c>
      <c r="H235" s="86">
        <f t="shared" si="94"/>
        <v>61938.93306</v>
      </c>
      <c r="I235" s="86">
        <f t="shared" si="94"/>
        <v>63177.71172</v>
      </c>
      <c r="J235" s="86">
        <f t="shared" si="94"/>
        <v>64441.26596</v>
      </c>
      <c r="K235" s="86">
        <f t="shared" si="94"/>
        <v>65730.09127</v>
      </c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29" t="s">
        <v>61</v>
      </c>
      <c r="B236" s="83"/>
      <c r="C236" s="83"/>
      <c r="D236" s="83"/>
      <c r="E236" s="83"/>
      <c r="F236" s="83"/>
      <c r="G236" s="83">
        <v>0.02</v>
      </c>
      <c r="H236" s="83">
        <v>0.02</v>
      </c>
      <c r="I236" s="83">
        <v>0.02</v>
      </c>
      <c r="J236" s="83">
        <v>0.02</v>
      </c>
      <c r="K236" s="83">
        <v>0.02</v>
      </c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29" t="s">
        <v>377</v>
      </c>
      <c r="B237" s="182"/>
      <c r="C237" s="182"/>
      <c r="D237" s="182"/>
      <c r="E237" s="182"/>
      <c r="F237" s="182">
        <f t="shared" ref="F237:K237" si="95">CHOOSE(F238,F$45,F$46,F$47,F$48)</f>
        <v>7588.931874</v>
      </c>
      <c r="G237" s="182">
        <f t="shared" si="95"/>
        <v>7740.710511</v>
      </c>
      <c r="H237" s="182">
        <f t="shared" si="95"/>
        <v>7895.524721</v>
      </c>
      <c r="I237" s="182">
        <f t="shared" si="95"/>
        <v>8053.435216</v>
      </c>
      <c r="J237" s="182">
        <f t="shared" si="95"/>
        <v>8214.50392</v>
      </c>
      <c r="K237" s="182">
        <f t="shared" si="95"/>
        <v>8378.793999</v>
      </c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63" t="s">
        <v>378</v>
      </c>
      <c r="B238" s="372"/>
      <c r="C238" s="372"/>
      <c r="D238" s="372"/>
      <c r="E238" s="372"/>
      <c r="F238" s="372">
        <v>1.0</v>
      </c>
      <c r="G238" s="372">
        <v>1.0</v>
      </c>
      <c r="H238" s="372">
        <v>1.0</v>
      </c>
      <c r="I238" s="372">
        <v>1.0</v>
      </c>
      <c r="J238" s="372">
        <v>1.0</v>
      </c>
      <c r="K238" s="372">
        <v>1.0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373" t="s">
        <v>409</v>
      </c>
      <c r="B239" s="383"/>
      <c r="C239" s="383"/>
      <c r="D239" s="383"/>
      <c r="E239" s="383"/>
      <c r="F239" s="383">
        <v>59533.768800000005</v>
      </c>
      <c r="G239" s="375">
        <f t="shared" ref="G239:K239" si="96">F239*(1+G240)</f>
        <v>60724.44418</v>
      </c>
      <c r="H239" s="375">
        <f t="shared" si="96"/>
        <v>61938.93306</v>
      </c>
      <c r="I239" s="375">
        <f t="shared" si="96"/>
        <v>63177.71172</v>
      </c>
      <c r="J239" s="375">
        <f t="shared" si="96"/>
        <v>64441.26596</v>
      </c>
      <c r="K239" s="375">
        <f t="shared" si="96"/>
        <v>65730.09127</v>
      </c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376" t="s">
        <v>61</v>
      </c>
      <c r="B240" s="377"/>
      <c r="C240" s="377"/>
      <c r="D240" s="377"/>
      <c r="E240" s="377"/>
      <c r="F240" s="377"/>
      <c r="G240" s="377">
        <v>0.02</v>
      </c>
      <c r="H240" s="377">
        <v>0.02</v>
      </c>
      <c r="I240" s="377">
        <v>0.02</v>
      </c>
      <c r="J240" s="377">
        <v>0.02</v>
      </c>
      <c r="K240" s="377">
        <v>0.02</v>
      </c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376" t="s">
        <v>377</v>
      </c>
      <c r="B241" s="378"/>
      <c r="C241" s="378"/>
      <c r="D241" s="378"/>
      <c r="E241" s="378"/>
      <c r="F241" s="378">
        <f t="shared" ref="F241:K241" si="97">CHOOSE(F242,F$45,F$46,F$47,F$48)</f>
        <v>12479.83383</v>
      </c>
      <c r="G241" s="378">
        <f t="shared" si="97"/>
        <v>12729.43051</v>
      </c>
      <c r="H241" s="378">
        <f t="shared" si="97"/>
        <v>12984.01912</v>
      </c>
      <c r="I241" s="378">
        <f t="shared" si="97"/>
        <v>13243.6995</v>
      </c>
      <c r="J241" s="378">
        <f t="shared" si="97"/>
        <v>13508.57349</v>
      </c>
      <c r="K241" s="378">
        <f t="shared" si="97"/>
        <v>13778.74496</v>
      </c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379" t="s">
        <v>378</v>
      </c>
      <c r="B242" s="381"/>
      <c r="C242" s="381"/>
      <c r="D242" s="381"/>
      <c r="E242" s="381"/>
      <c r="F242" s="381">
        <v>2.0</v>
      </c>
      <c r="G242" s="381">
        <v>2.0</v>
      </c>
      <c r="H242" s="381">
        <v>2.0</v>
      </c>
      <c r="I242" s="381">
        <v>2.0</v>
      </c>
      <c r="J242" s="381">
        <v>2.0</v>
      </c>
      <c r="K242" s="381">
        <v>2.0</v>
      </c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 t="s">
        <v>410</v>
      </c>
      <c r="B243" s="91"/>
      <c r="C243" s="91"/>
      <c r="D243" s="91"/>
      <c r="E243" s="91"/>
      <c r="F243" s="91">
        <v>59533.768800000005</v>
      </c>
      <c r="G243" s="86">
        <f t="shared" ref="G243:K243" si="98">F243*(1+G244)</f>
        <v>60724.44418</v>
      </c>
      <c r="H243" s="86">
        <f t="shared" si="98"/>
        <v>61938.93306</v>
      </c>
      <c r="I243" s="86">
        <f t="shared" si="98"/>
        <v>63177.71172</v>
      </c>
      <c r="J243" s="86">
        <f t="shared" si="98"/>
        <v>64441.26596</v>
      </c>
      <c r="K243" s="86">
        <f t="shared" si="98"/>
        <v>65730.09127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29" t="s">
        <v>61</v>
      </c>
      <c r="B244" s="83"/>
      <c r="C244" s="83"/>
      <c r="D244" s="83"/>
      <c r="E244" s="83"/>
      <c r="F244" s="83"/>
      <c r="G244" s="83">
        <v>0.02</v>
      </c>
      <c r="H244" s="83">
        <v>0.02</v>
      </c>
      <c r="I244" s="83">
        <v>0.02</v>
      </c>
      <c r="J244" s="83">
        <v>0.02</v>
      </c>
      <c r="K244" s="83">
        <v>0.02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29" t="s">
        <v>377</v>
      </c>
      <c r="B245" s="182"/>
      <c r="C245" s="182"/>
      <c r="D245" s="182"/>
      <c r="E245" s="182"/>
      <c r="F245" s="182">
        <f t="shared" ref="F245:K245" si="99">CHOOSE(F246,F$45,F$46,F$47,F$48)</f>
        <v>16492.28428</v>
      </c>
      <c r="G245" s="182">
        <f t="shared" si="99"/>
        <v>16822.12997</v>
      </c>
      <c r="H245" s="182">
        <f t="shared" si="99"/>
        <v>17158.57257</v>
      </c>
      <c r="I245" s="182">
        <f t="shared" si="99"/>
        <v>17501.74402</v>
      </c>
      <c r="J245" s="182">
        <f t="shared" si="99"/>
        <v>17851.7789</v>
      </c>
      <c r="K245" s="182">
        <f t="shared" si="99"/>
        <v>18208.81448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63" t="s">
        <v>378</v>
      </c>
      <c r="B246" s="372"/>
      <c r="C246" s="372"/>
      <c r="D246" s="372"/>
      <c r="E246" s="372"/>
      <c r="F246" s="372">
        <v>3.0</v>
      </c>
      <c r="G246" s="372">
        <v>3.0</v>
      </c>
      <c r="H246" s="372">
        <v>3.0</v>
      </c>
      <c r="I246" s="372">
        <v>3.0</v>
      </c>
      <c r="J246" s="372">
        <v>3.0</v>
      </c>
      <c r="K246" s="372">
        <v>3.0</v>
      </c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373" t="s">
        <v>411</v>
      </c>
      <c r="B247" s="383"/>
      <c r="C247" s="383"/>
      <c r="D247" s="383"/>
      <c r="E247" s="383"/>
      <c r="F247" s="383">
        <v>59533.768800000005</v>
      </c>
      <c r="G247" s="375">
        <f t="shared" ref="G247:K247" si="100">F247*(1+G248)</f>
        <v>60724.44418</v>
      </c>
      <c r="H247" s="375">
        <f t="shared" si="100"/>
        <v>61938.93306</v>
      </c>
      <c r="I247" s="375">
        <f t="shared" si="100"/>
        <v>63177.71172</v>
      </c>
      <c r="J247" s="375">
        <f t="shared" si="100"/>
        <v>64441.26596</v>
      </c>
      <c r="K247" s="375">
        <f t="shared" si="100"/>
        <v>65730.09127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376" t="s">
        <v>61</v>
      </c>
      <c r="B248" s="377"/>
      <c r="C248" s="377"/>
      <c r="D248" s="377"/>
      <c r="E248" s="377"/>
      <c r="F248" s="377"/>
      <c r="G248" s="377">
        <v>0.02</v>
      </c>
      <c r="H248" s="377">
        <v>0.02</v>
      </c>
      <c r="I248" s="377">
        <v>0.02</v>
      </c>
      <c r="J248" s="377">
        <v>0.02</v>
      </c>
      <c r="K248" s="377">
        <v>0.02</v>
      </c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376" t="s">
        <v>377</v>
      </c>
      <c r="B249" s="378"/>
      <c r="C249" s="378"/>
      <c r="D249" s="378"/>
      <c r="E249" s="378"/>
      <c r="F249" s="378">
        <f t="shared" ref="F249:K249" si="101">CHOOSE(F250,F$45,F$46,F$47,F$48)</f>
        <v>20023.89651</v>
      </c>
      <c r="G249" s="378">
        <f t="shared" si="101"/>
        <v>20424.37444</v>
      </c>
      <c r="H249" s="378">
        <f t="shared" si="101"/>
        <v>20832.86193</v>
      </c>
      <c r="I249" s="378">
        <f t="shared" si="101"/>
        <v>21249.51917</v>
      </c>
      <c r="J249" s="378">
        <f t="shared" si="101"/>
        <v>21674.50955</v>
      </c>
      <c r="K249" s="378">
        <f t="shared" si="101"/>
        <v>22107.99974</v>
      </c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379" t="s">
        <v>378</v>
      </c>
      <c r="B250" s="381"/>
      <c r="C250" s="381"/>
      <c r="D250" s="381"/>
      <c r="E250" s="381"/>
      <c r="F250" s="381">
        <v>4.0</v>
      </c>
      <c r="G250" s="381">
        <v>4.0</v>
      </c>
      <c r="H250" s="381">
        <v>4.0</v>
      </c>
      <c r="I250" s="381">
        <v>4.0</v>
      </c>
      <c r="J250" s="381">
        <v>4.0</v>
      </c>
      <c r="K250" s="381">
        <v>4.0</v>
      </c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48" t="s">
        <v>412</v>
      </c>
      <c r="B252" s="137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 t="s">
        <v>408</v>
      </c>
      <c r="B253" s="91"/>
      <c r="C253" s="91"/>
      <c r="D253" s="91"/>
      <c r="E253" s="91"/>
      <c r="F253" s="86"/>
      <c r="G253" s="91">
        <v>60724.444176000005</v>
      </c>
      <c r="H253" s="86">
        <f t="shared" ref="H253:K253" si="102">G253*(1+H254)</f>
        <v>61938.93306</v>
      </c>
      <c r="I253" s="86">
        <f t="shared" si="102"/>
        <v>63177.71172</v>
      </c>
      <c r="J253" s="86">
        <f t="shared" si="102"/>
        <v>64441.26596</v>
      </c>
      <c r="K253" s="86">
        <f t="shared" si="102"/>
        <v>65730.09127</v>
      </c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29" t="s">
        <v>61</v>
      </c>
      <c r="B254" s="83"/>
      <c r="C254" s="83"/>
      <c r="D254" s="83"/>
      <c r="E254" s="83"/>
      <c r="F254" s="83"/>
      <c r="G254" s="83"/>
      <c r="H254" s="83">
        <v>0.02</v>
      </c>
      <c r="I254" s="83">
        <v>0.02</v>
      </c>
      <c r="J254" s="83">
        <v>0.02</v>
      </c>
      <c r="K254" s="83">
        <v>0.02</v>
      </c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29" t="s">
        <v>377</v>
      </c>
      <c r="B255" s="182"/>
      <c r="C255" s="182"/>
      <c r="D255" s="182"/>
      <c r="E255" s="182"/>
      <c r="F255" s="182"/>
      <c r="G255" s="182">
        <f t="shared" ref="G255:K255" si="103">CHOOSE(G256,G$45,G$46,G$47,G$48)</f>
        <v>7740.710511</v>
      </c>
      <c r="H255" s="182">
        <f t="shared" si="103"/>
        <v>7895.524721</v>
      </c>
      <c r="I255" s="182">
        <f t="shared" si="103"/>
        <v>8053.435216</v>
      </c>
      <c r="J255" s="182">
        <f t="shared" si="103"/>
        <v>8214.50392</v>
      </c>
      <c r="K255" s="182">
        <f t="shared" si="103"/>
        <v>8378.793999</v>
      </c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63" t="s">
        <v>378</v>
      </c>
      <c r="B256" s="372"/>
      <c r="C256" s="372"/>
      <c r="D256" s="372"/>
      <c r="E256" s="372"/>
      <c r="F256" s="372"/>
      <c r="G256" s="372">
        <v>1.0</v>
      </c>
      <c r="H256" s="372">
        <v>1.0</v>
      </c>
      <c r="I256" s="372">
        <v>1.0</v>
      </c>
      <c r="J256" s="372">
        <v>1.0</v>
      </c>
      <c r="K256" s="372">
        <v>1.0</v>
      </c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373" t="s">
        <v>409</v>
      </c>
      <c r="B257" s="383"/>
      <c r="C257" s="383"/>
      <c r="D257" s="383"/>
      <c r="E257" s="383"/>
      <c r="F257" s="375"/>
      <c r="G257" s="383">
        <v>60724.444176000005</v>
      </c>
      <c r="H257" s="375">
        <f t="shared" ref="H257:K257" si="104">G257*(1+H258)</f>
        <v>61938.93306</v>
      </c>
      <c r="I257" s="375">
        <f t="shared" si="104"/>
        <v>63177.71172</v>
      </c>
      <c r="J257" s="375">
        <f t="shared" si="104"/>
        <v>64441.26596</v>
      </c>
      <c r="K257" s="375">
        <f t="shared" si="104"/>
        <v>65730.09127</v>
      </c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376" t="s">
        <v>61</v>
      </c>
      <c r="B258" s="377"/>
      <c r="C258" s="377"/>
      <c r="D258" s="377"/>
      <c r="E258" s="377"/>
      <c r="F258" s="377"/>
      <c r="G258" s="377"/>
      <c r="H258" s="377">
        <v>0.02</v>
      </c>
      <c r="I258" s="377">
        <v>0.02</v>
      </c>
      <c r="J258" s="377">
        <v>0.02</v>
      </c>
      <c r="K258" s="377">
        <v>0.02</v>
      </c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376" t="s">
        <v>377</v>
      </c>
      <c r="B259" s="378"/>
      <c r="C259" s="378"/>
      <c r="D259" s="378"/>
      <c r="E259" s="378"/>
      <c r="F259" s="378"/>
      <c r="G259" s="378">
        <f t="shared" ref="G259:K259" si="105">CHOOSE(G260,G$45,G$46,G$47,G$48)</f>
        <v>12729.43051</v>
      </c>
      <c r="H259" s="378">
        <f t="shared" si="105"/>
        <v>12984.01912</v>
      </c>
      <c r="I259" s="378">
        <f t="shared" si="105"/>
        <v>13243.6995</v>
      </c>
      <c r="J259" s="378">
        <f t="shared" si="105"/>
        <v>13508.57349</v>
      </c>
      <c r="K259" s="378">
        <f t="shared" si="105"/>
        <v>13778.74496</v>
      </c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379" t="s">
        <v>378</v>
      </c>
      <c r="B260" s="381"/>
      <c r="C260" s="381"/>
      <c r="D260" s="381"/>
      <c r="E260" s="381"/>
      <c r="F260" s="381"/>
      <c r="G260" s="381">
        <v>2.0</v>
      </c>
      <c r="H260" s="381">
        <v>2.0</v>
      </c>
      <c r="I260" s="381">
        <v>2.0</v>
      </c>
      <c r="J260" s="381">
        <v>2.0</v>
      </c>
      <c r="K260" s="381">
        <v>2.0</v>
      </c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 t="s">
        <v>410</v>
      </c>
      <c r="B261" s="91"/>
      <c r="C261" s="91"/>
      <c r="D261" s="91"/>
      <c r="E261" s="91"/>
      <c r="F261" s="385"/>
      <c r="G261" s="91">
        <v>60724.444176000005</v>
      </c>
      <c r="H261" s="86">
        <f t="shared" ref="H261:K261" si="106">G261*(1+H262)</f>
        <v>61938.93306</v>
      </c>
      <c r="I261" s="86">
        <f t="shared" si="106"/>
        <v>63177.71172</v>
      </c>
      <c r="J261" s="86">
        <f t="shared" si="106"/>
        <v>64441.26596</v>
      </c>
      <c r="K261" s="86">
        <f t="shared" si="106"/>
        <v>65730.09127</v>
      </c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29" t="s">
        <v>61</v>
      </c>
      <c r="B262" s="83"/>
      <c r="C262" s="83"/>
      <c r="D262" s="83"/>
      <c r="E262" s="83"/>
      <c r="F262" s="83"/>
      <c r="G262" s="83"/>
      <c r="H262" s="83">
        <v>0.02</v>
      </c>
      <c r="I262" s="83">
        <v>0.02</v>
      </c>
      <c r="J262" s="83">
        <v>0.02</v>
      </c>
      <c r="K262" s="83">
        <v>0.02</v>
      </c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29" t="s">
        <v>377</v>
      </c>
      <c r="B263" s="182"/>
      <c r="C263" s="182"/>
      <c r="D263" s="182"/>
      <c r="E263" s="182"/>
      <c r="F263" s="182"/>
      <c r="G263" s="182">
        <f t="shared" ref="G263:K263" si="107">CHOOSE(G264,G$45,G$46,G$47,G$48)</f>
        <v>16822.12997</v>
      </c>
      <c r="H263" s="182">
        <f t="shared" si="107"/>
        <v>17158.57257</v>
      </c>
      <c r="I263" s="182">
        <f t="shared" si="107"/>
        <v>17501.74402</v>
      </c>
      <c r="J263" s="182">
        <f t="shared" si="107"/>
        <v>17851.7789</v>
      </c>
      <c r="K263" s="182">
        <f t="shared" si="107"/>
        <v>18208.81448</v>
      </c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63" t="s">
        <v>378</v>
      </c>
      <c r="B264" s="372"/>
      <c r="C264" s="372"/>
      <c r="D264" s="372"/>
      <c r="E264" s="372"/>
      <c r="F264" s="372"/>
      <c r="G264" s="372">
        <v>3.0</v>
      </c>
      <c r="H264" s="372">
        <v>3.0</v>
      </c>
      <c r="I264" s="372">
        <v>3.0</v>
      </c>
      <c r="J264" s="372">
        <v>3.0</v>
      </c>
      <c r="K264" s="372">
        <v>3.0</v>
      </c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373" t="s">
        <v>411</v>
      </c>
      <c r="B265" s="383"/>
      <c r="C265" s="383"/>
      <c r="D265" s="383"/>
      <c r="E265" s="383"/>
      <c r="F265" s="384"/>
      <c r="G265" s="383">
        <v>60724.444176000005</v>
      </c>
      <c r="H265" s="375">
        <f t="shared" ref="H265:K265" si="108">G265*(1+H266)</f>
        <v>61938.93306</v>
      </c>
      <c r="I265" s="375">
        <f t="shared" si="108"/>
        <v>63177.71172</v>
      </c>
      <c r="J265" s="375">
        <f t="shared" si="108"/>
        <v>64441.26596</v>
      </c>
      <c r="K265" s="375">
        <f t="shared" si="108"/>
        <v>65730.09127</v>
      </c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376" t="s">
        <v>61</v>
      </c>
      <c r="B266" s="377"/>
      <c r="C266" s="377"/>
      <c r="D266" s="377"/>
      <c r="E266" s="377"/>
      <c r="F266" s="377"/>
      <c r="G266" s="377"/>
      <c r="H266" s="377">
        <v>0.02</v>
      </c>
      <c r="I266" s="377">
        <v>0.02</v>
      </c>
      <c r="J266" s="377">
        <v>0.02</v>
      </c>
      <c r="K266" s="377">
        <v>0.02</v>
      </c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376" t="s">
        <v>377</v>
      </c>
      <c r="B267" s="378"/>
      <c r="C267" s="378"/>
      <c r="D267" s="378"/>
      <c r="E267" s="378"/>
      <c r="F267" s="378"/>
      <c r="G267" s="378">
        <f t="shared" ref="G267:K267" si="109">CHOOSE(G268,G$45,G$46,G$47,G$48)</f>
        <v>20424.37444</v>
      </c>
      <c r="H267" s="378">
        <f t="shared" si="109"/>
        <v>20832.86193</v>
      </c>
      <c r="I267" s="378">
        <f t="shared" si="109"/>
        <v>21249.51917</v>
      </c>
      <c r="J267" s="378">
        <f t="shared" si="109"/>
        <v>21674.50955</v>
      </c>
      <c r="K267" s="378">
        <f t="shared" si="109"/>
        <v>22107.99974</v>
      </c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379" t="s">
        <v>378</v>
      </c>
      <c r="B268" s="381"/>
      <c r="C268" s="381"/>
      <c r="D268" s="381"/>
      <c r="E268" s="381"/>
      <c r="F268" s="381"/>
      <c r="G268" s="381">
        <v>4.0</v>
      </c>
      <c r="H268" s="381">
        <v>4.0</v>
      </c>
      <c r="I268" s="381">
        <v>4.0</v>
      </c>
      <c r="J268" s="381">
        <v>4.0</v>
      </c>
      <c r="K268" s="381">
        <v>4.0</v>
      </c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48" t="s">
        <v>413</v>
      </c>
      <c r="B270" s="137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 t="s">
        <v>408</v>
      </c>
      <c r="B271" s="91"/>
      <c r="C271" s="91"/>
      <c r="D271" s="91"/>
      <c r="E271" s="91"/>
      <c r="F271" s="86"/>
      <c r="G271" s="86"/>
      <c r="H271" s="91">
        <v>61938.93305952001</v>
      </c>
      <c r="I271" s="86">
        <f t="shared" ref="I271:K271" si="110">H271*(1+I272)</f>
        <v>63177.71172</v>
      </c>
      <c r="J271" s="86">
        <f t="shared" si="110"/>
        <v>64441.26596</v>
      </c>
      <c r="K271" s="86">
        <f t="shared" si="110"/>
        <v>65730.09127</v>
      </c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29" t="s">
        <v>61</v>
      </c>
      <c r="B272" s="83"/>
      <c r="C272" s="83"/>
      <c r="D272" s="83"/>
      <c r="E272" s="83"/>
      <c r="F272" s="83"/>
      <c r="G272" s="83"/>
      <c r="H272" s="83"/>
      <c r="I272" s="83">
        <v>0.02</v>
      </c>
      <c r="J272" s="83">
        <v>0.02</v>
      </c>
      <c r="K272" s="83">
        <v>0.02</v>
      </c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29" t="s">
        <v>377</v>
      </c>
      <c r="B273" s="182"/>
      <c r="C273" s="182"/>
      <c r="D273" s="182"/>
      <c r="E273" s="182"/>
      <c r="F273" s="182"/>
      <c r="G273" s="182"/>
      <c r="H273" s="182">
        <f t="shared" ref="H273:K273" si="111">CHOOSE(H274,H$45,H$46,H$47,H$48)</f>
        <v>7895.524721</v>
      </c>
      <c r="I273" s="182">
        <f t="shared" si="111"/>
        <v>8053.435216</v>
      </c>
      <c r="J273" s="182">
        <f t="shared" si="111"/>
        <v>8214.50392</v>
      </c>
      <c r="K273" s="182">
        <f t="shared" si="111"/>
        <v>8378.793999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63" t="s">
        <v>378</v>
      </c>
      <c r="B274" s="372"/>
      <c r="C274" s="372"/>
      <c r="D274" s="372"/>
      <c r="E274" s="372"/>
      <c r="F274" s="372"/>
      <c r="G274" s="372"/>
      <c r="H274" s="372">
        <v>1.0</v>
      </c>
      <c r="I274" s="372">
        <v>1.0</v>
      </c>
      <c r="J274" s="372">
        <v>1.0</v>
      </c>
      <c r="K274" s="372">
        <v>1.0</v>
      </c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373" t="s">
        <v>409</v>
      </c>
      <c r="B275" s="383"/>
      <c r="C275" s="383"/>
      <c r="D275" s="383"/>
      <c r="E275" s="383"/>
      <c r="F275" s="375"/>
      <c r="G275" s="375"/>
      <c r="H275" s="383">
        <v>61938.93305952001</v>
      </c>
      <c r="I275" s="375">
        <f t="shared" ref="I275:K275" si="112">H275*(1+I276)</f>
        <v>63177.71172</v>
      </c>
      <c r="J275" s="375">
        <f t="shared" si="112"/>
        <v>64441.26596</v>
      </c>
      <c r="K275" s="375">
        <f t="shared" si="112"/>
        <v>65730.09127</v>
      </c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376" t="s">
        <v>61</v>
      </c>
      <c r="B276" s="377"/>
      <c r="C276" s="377"/>
      <c r="D276" s="377"/>
      <c r="E276" s="377"/>
      <c r="F276" s="377"/>
      <c r="G276" s="377"/>
      <c r="H276" s="377"/>
      <c r="I276" s="377">
        <v>0.02</v>
      </c>
      <c r="J276" s="377">
        <v>0.02</v>
      </c>
      <c r="K276" s="377">
        <v>0.02</v>
      </c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376" t="s">
        <v>377</v>
      </c>
      <c r="B277" s="378"/>
      <c r="C277" s="378"/>
      <c r="D277" s="378"/>
      <c r="E277" s="378"/>
      <c r="F277" s="378"/>
      <c r="G277" s="378"/>
      <c r="H277" s="378">
        <f t="shared" ref="H277:K277" si="113">CHOOSE(H278,H$45,H$46,H$47,H$48)</f>
        <v>12984.01912</v>
      </c>
      <c r="I277" s="378">
        <f t="shared" si="113"/>
        <v>13243.6995</v>
      </c>
      <c r="J277" s="378">
        <f t="shared" si="113"/>
        <v>13508.57349</v>
      </c>
      <c r="K277" s="378">
        <f t="shared" si="113"/>
        <v>13778.74496</v>
      </c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379" t="s">
        <v>378</v>
      </c>
      <c r="B278" s="381"/>
      <c r="C278" s="381"/>
      <c r="D278" s="381"/>
      <c r="E278" s="381"/>
      <c r="F278" s="381"/>
      <c r="G278" s="381"/>
      <c r="H278" s="381">
        <v>2.0</v>
      </c>
      <c r="I278" s="381">
        <v>2.0</v>
      </c>
      <c r="J278" s="381">
        <v>2.0</v>
      </c>
      <c r="K278" s="381">
        <v>2.0</v>
      </c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 t="s">
        <v>410</v>
      </c>
      <c r="B279" s="91"/>
      <c r="C279" s="91"/>
      <c r="D279" s="91"/>
      <c r="E279" s="91"/>
      <c r="F279" s="385"/>
      <c r="G279" s="86"/>
      <c r="H279" s="91">
        <v>61938.93305952001</v>
      </c>
      <c r="I279" s="86">
        <f t="shared" ref="I279:K279" si="114">H279*(1+I280)</f>
        <v>63177.71172</v>
      </c>
      <c r="J279" s="86">
        <f t="shared" si="114"/>
        <v>64441.26596</v>
      </c>
      <c r="K279" s="86">
        <f t="shared" si="114"/>
        <v>65730.09127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29" t="s">
        <v>61</v>
      </c>
      <c r="B280" s="83"/>
      <c r="C280" s="83"/>
      <c r="D280" s="83"/>
      <c r="E280" s="83"/>
      <c r="F280" s="83"/>
      <c r="G280" s="83"/>
      <c r="H280" s="83"/>
      <c r="I280" s="83">
        <v>0.02</v>
      </c>
      <c r="J280" s="83">
        <v>0.02</v>
      </c>
      <c r="K280" s="83">
        <v>0.02</v>
      </c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29" t="s">
        <v>377</v>
      </c>
      <c r="B281" s="182"/>
      <c r="C281" s="182"/>
      <c r="D281" s="182"/>
      <c r="E281" s="182"/>
      <c r="F281" s="182"/>
      <c r="G281" s="182"/>
      <c r="H281" s="182">
        <f t="shared" ref="H281:K281" si="115">CHOOSE(H282,H$45,H$46,H$47,H$48)</f>
        <v>20832.86193</v>
      </c>
      <c r="I281" s="182">
        <f t="shared" si="115"/>
        <v>21249.51917</v>
      </c>
      <c r="J281" s="182">
        <f t="shared" si="115"/>
        <v>21674.50955</v>
      </c>
      <c r="K281" s="182">
        <f t="shared" si="115"/>
        <v>22107.99974</v>
      </c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63" t="s">
        <v>378</v>
      </c>
      <c r="B282" s="372"/>
      <c r="C282" s="372"/>
      <c r="D282" s="372"/>
      <c r="E282" s="372"/>
      <c r="F282" s="372"/>
      <c r="G282" s="372"/>
      <c r="H282" s="372">
        <v>4.0</v>
      </c>
      <c r="I282" s="372">
        <v>4.0</v>
      </c>
      <c r="J282" s="372">
        <v>4.0</v>
      </c>
      <c r="K282" s="372">
        <v>4.0</v>
      </c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373" t="s">
        <v>411</v>
      </c>
      <c r="B283" s="383"/>
      <c r="C283" s="383"/>
      <c r="D283" s="383"/>
      <c r="E283" s="383"/>
      <c r="F283" s="384"/>
      <c r="G283" s="375"/>
      <c r="H283" s="383">
        <v>61938.93305952001</v>
      </c>
      <c r="I283" s="375">
        <f t="shared" ref="I283:K283" si="116">H283*(1+I284)</f>
        <v>63177.71172</v>
      </c>
      <c r="J283" s="375">
        <f t="shared" si="116"/>
        <v>64441.26596</v>
      </c>
      <c r="K283" s="375">
        <f t="shared" si="116"/>
        <v>65730.09127</v>
      </c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376" t="s">
        <v>61</v>
      </c>
      <c r="B284" s="377"/>
      <c r="C284" s="377"/>
      <c r="D284" s="377"/>
      <c r="E284" s="377"/>
      <c r="F284" s="377"/>
      <c r="G284" s="377"/>
      <c r="H284" s="377"/>
      <c r="I284" s="377">
        <v>0.02</v>
      </c>
      <c r="J284" s="377">
        <v>0.02</v>
      </c>
      <c r="K284" s="377">
        <v>0.02</v>
      </c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376" t="s">
        <v>377</v>
      </c>
      <c r="B285" s="378"/>
      <c r="C285" s="378"/>
      <c r="D285" s="378"/>
      <c r="E285" s="378"/>
      <c r="F285" s="378"/>
      <c r="G285" s="378"/>
      <c r="H285" s="378">
        <f t="shared" ref="H285:K285" si="117">CHOOSE(H286,H$45,H$46,H$47,H$48)</f>
        <v>20832.86193</v>
      </c>
      <c r="I285" s="378">
        <f t="shared" si="117"/>
        <v>21249.51917</v>
      </c>
      <c r="J285" s="378">
        <f t="shared" si="117"/>
        <v>21674.50955</v>
      </c>
      <c r="K285" s="378">
        <f t="shared" si="117"/>
        <v>22107.99974</v>
      </c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379" t="s">
        <v>378</v>
      </c>
      <c r="B286" s="381"/>
      <c r="C286" s="381"/>
      <c r="D286" s="381"/>
      <c r="E286" s="381"/>
      <c r="F286" s="381"/>
      <c r="G286" s="381"/>
      <c r="H286" s="381">
        <v>4.0</v>
      </c>
      <c r="I286" s="381">
        <v>4.0</v>
      </c>
      <c r="J286" s="381">
        <v>4.0</v>
      </c>
      <c r="K286" s="381">
        <v>4.0</v>
      </c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</sheetData>
  <mergeCells count="1">
    <mergeCell ref="B5:K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2020-08-13T15:02:43Z</dcterms:created>
  <dc:creator>Natalie</dc:creator>
</cp:coreProperties>
</file>