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aceworksministries.sharepoint.com/sites/Development/Shared Documents/02 - Grants/01 - Grant Attachments/Grant Attachments 2022/"/>
    </mc:Choice>
  </mc:AlternateContent>
  <xr:revisionPtr revIDLastSave="0" documentId="8_{247299AF-0C29-4B5E-ADA7-CEC4A07DF23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Budget Overview" sheetId="1" r:id="rId1"/>
    <sheet name="Summa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2" l="1"/>
  <c r="B10" i="2"/>
  <c r="B180" i="1"/>
  <c r="B179" i="1"/>
  <c r="B178" i="1"/>
  <c r="B177" i="1"/>
  <c r="B174" i="1"/>
  <c r="B173" i="1"/>
  <c r="B172" i="1"/>
  <c r="B171" i="1"/>
  <c r="B170" i="1"/>
  <c r="B169" i="1"/>
  <c r="B175" i="1" s="1"/>
  <c r="B168" i="1"/>
  <c r="B166" i="1"/>
  <c r="B164" i="1"/>
  <c r="B163" i="1"/>
  <c r="B162" i="1"/>
  <c r="B161" i="1"/>
  <c r="B160" i="1"/>
  <c r="B159" i="1"/>
  <c r="B158" i="1"/>
  <c r="B157" i="1"/>
  <c r="B156" i="1"/>
  <c r="B155" i="1"/>
  <c r="B152" i="1"/>
  <c r="B153" i="1" s="1"/>
  <c r="B150" i="1"/>
  <c r="B165" i="1" s="1"/>
  <c r="B149" i="1"/>
  <c r="B145" i="1"/>
  <c r="B144" i="1"/>
  <c r="B143" i="1"/>
  <c r="B142" i="1"/>
  <c r="B141" i="1"/>
  <c r="B140" i="1"/>
  <c r="B146" i="1" s="1"/>
  <c r="B137" i="1"/>
  <c r="B135" i="1"/>
  <c r="B136" i="1" s="1"/>
  <c r="B134" i="1"/>
  <c r="B133" i="1"/>
  <c r="B131" i="1"/>
  <c r="B130" i="1"/>
  <c r="B129" i="1"/>
  <c r="B128" i="1"/>
  <c r="B126" i="1"/>
  <c r="B127" i="1" s="1"/>
  <c r="B125" i="1"/>
  <c r="B123" i="1"/>
  <c r="B122" i="1"/>
  <c r="B121" i="1"/>
  <c r="B120" i="1"/>
  <c r="B119" i="1"/>
  <c r="B118" i="1"/>
  <c r="B117" i="1"/>
  <c r="B116" i="1"/>
  <c r="B115" i="1"/>
  <c r="B113" i="1"/>
  <c r="B112" i="1"/>
  <c r="B111" i="1"/>
  <c r="B110" i="1"/>
  <c r="B109" i="1"/>
  <c r="B114" i="1" s="1"/>
  <c r="B107" i="1"/>
  <c r="B106" i="1"/>
  <c r="B105" i="1"/>
  <c r="B103" i="1"/>
  <c r="B102" i="1"/>
  <c r="B101" i="1"/>
  <c r="B100" i="1"/>
  <c r="B104" i="1" s="1"/>
  <c r="B99" i="1"/>
  <c r="B96" i="1"/>
  <c r="B95" i="1"/>
  <c r="B94" i="1"/>
  <c r="B93" i="1"/>
  <c r="B97" i="1" s="1"/>
  <c r="B91" i="1"/>
  <c r="B138" i="1" s="1"/>
  <c r="B88" i="1"/>
  <c r="B87" i="1"/>
  <c r="B85" i="1"/>
  <c r="B84" i="1"/>
  <c r="B83" i="1"/>
  <c r="B82" i="1"/>
  <c r="B81" i="1"/>
  <c r="B86" i="1" s="1"/>
  <c r="B79" i="1"/>
  <c r="B78" i="1"/>
  <c r="B76" i="1"/>
  <c r="B75" i="1"/>
  <c r="B74" i="1"/>
  <c r="B73" i="1"/>
  <c r="B72" i="1"/>
  <c r="B77" i="1" s="1"/>
  <c r="B68" i="1"/>
  <c r="B67" i="1"/>
  <c r="B66" i="1"/>
  <c r="B65" i="1"/>
  <c r="B64" i="1"/>
  <c r="B63" i="1"/>
  <c r="B62" i="1"/>
  <c r="B61" i="1"/>
  <c r="B60" i="1"/>
  <c r="B57" i="1"/>
  <c r="B58" i="1" s="1"/>
  <c r="B54" i="1"/>
  <c r="B53" i="1"/>
  <c r="B55" i="1" s="1"/>
  <c r="B51" i="1"/>
  <c r="B50" i="1"/>
  <c r="B49" i="1"/>
  <c r="B46" i="1"/>
  <c r="B45" i="1"/>
  <c r="B44" i="1"/>
  <c r="B43" i="1"/>
  <c r="B42" i="1"/>
  <c r="B47" i="1" s="1"/>
  <c r="B41" i="1"/>
  <c r="B40" i="1"/>
  <c r="B34" i="1"/>
  <c r="B33" i="1"/>
  <c r="B32" i="1"/>
  <c r="B31" i="1"/>
  <c r="B30" i="1"/>
  <c r="B29" i="1"/>
  <c r="B35" i="1" s="1"/>
  <c r="B27" i="1"/>
  <c r="B26" i="1"/>
  <c r="B25" i="1"/>
  <c r="B22" i="1"/>
  <c r="B20" i="1"/>
  <c r="B19" i="1"/>
  <c r="B21" i="1" s="1"/>
  <c r="B23" i="1" s="1"/>
  <c r="B15" i="1"/>
  <c r="B14" i="1"/>
  <c r="B13" i="1"/>
  <c r="B12" i="1"/>
  <c r="B16" i="1" s="1"/>
  <c r="B11" i="1"/>
  <c r="B9" i="1"/>
  <c r="B8" i="1"/>
  <c r="B7" i="1"/>
  <c r="B36" i="1" s="1"/>
  <c r="B37" i="1" s="1"/>
  <c r="B89" i="1" l="1"/>
  <c r="B69" i="1"/>
  <c r="B181" i="1" s="1"/>
  <c r="B182" i="1" s="1"/>
  <c r="B183" i="1" s="1"/>
</calcChain>
</file>

<file path=xl/sharedStrings.xml><?xml version="1.0" encoding="utf-8"?>
<sst xmlns="http://schemas.openxmlformats.org/spreadsheetml/2006/main" count="205" uniqueCount="185">
  <si>
    <t>Total</t>
  </si>
  <si>
    <t>Income</t>
  </si>
  <si>
    <t xml:space="preserve">   4100 CHURCH</t>
  </si>
  <si>
    <t xml:space="preserve">   4200 INDIVIDUAL INCOME</t>
  </si>
  <si>
    <t xml:space="preserve">   4400 BUSINESS</t>
  </si>
  <si>
    <t xml:space="preserve">   4500 FUNDRAISING Events &amp; Appeals</t>
  </si>
  <si>
    <t xml:space="preserve">      4512 Turkey Trot / Fun Run</t>
  </si>
  <si>
    <t xml:space="preserve">      4515 Fundraiser - Dinner</t>
  </si>
  <si>
    <t xml:space="preserve">      4517 Fundraiser - Golf</t>
  </si>
  <si>
    <t xml:space="preserve">      4554 Christmas - Manger</t>
  </si>
  <si>
    <t xml:space="preserve">      4557 Christmas Appeals</t>
  </si>
  <si>
    <t xml:space="preserve">   Total 4500 FUNDRAISING Events &amp; Appeals</t>
  </si>
  <si>
    <t xml:space="preserve">   4610 GRANTS</t>
  </si>
  <si>
    <t xml:space="preserve">      4611 Grants - UW</t>
  </si>
  <si>
    <t xml:space="preserve">         4611.1 Family Collective</t>
  </si>
  <si>
    <t xml:space="preserve">         4611.2 United Way</t>
  </si>
  <si>
    <t xml:space="preserve">      Total 4611 Grants - UW</t>
  </si>
  <si>
    <t xml:space="preserve">      4612 Other Grants</t>
  </si>
  <si>
    <t xml:space="preserve">   Total 4610 GRANTS</t>
  </si>
  <si>
    <t xml:space="preserve">   4800 STORE INCOME</t>
  </si>
  <si>
    <t xml:space="preserve">      4801 Store Sales</t>
  </si>
  <si>
    <t xml:space="preserve">      4803 Donated goods sold to third party</t>
  </si>
  <si>
    <t xml:space="preserve">   Total 4800 STORE INCOME</t>
  </si>
  <si>
    <t xml:space="preserve">   4850 IN-KIND DONATIONS</t>
  </si>
  <si>
    <t xml:space="preserve">      4861 In Kind - Administration</t>
  </si>
  <si>
    <t xml:space="preserve">      4862 In Kind - Development</t>
  </si>
  <si>
    <t xml:space="preserve">      4863 In Kind - Operations</t>
  </si>
  <si>
    <t xml:space="preserve">      4864 In Kind - Neighbor Services</t>
  </si>
  <si>
    <t xml:space="preserve">      4865 In Kind - Store</t>
  </si>
  <si>
    <t xml:space="preserve">      4866 In-Kind - Food Pantry</t>
  </si>
  <si>
    <t xml:space="preserve">   Total 4850 IN-KIND DONATIONS</t>
  </si>
  <si>
    <t>Total Income</t>
  </si>
  <si>
    <t>Gross Profit</t>
  </si>
  <si>
    <t>Expenses</t>
  </si>
  <si>
    <t xml:space="preserve">   5001 FUNDRAISING</t>
  </si>
  <si>
    <t xml:space="preserve">      5002 Fundraiser - Turkey Trot</t>
  </si>
  <si>
    <t xml:space="preserve">      5003 Development - Community/Donor Gifts</t>
  </si>
  <si>
    <t xml:space="preserve">      5004 Fundraiser - Dinner</t>
  </si>
  <si>
    <t xml:space="preserve">      5006 Fundraiser - Christmas Mailer</t>
  </si>
  <si>
    <t xml:space="preserve">      5009 Fundraiser - Golf</t>
  </si>
  <si>
    <t xml:space="preserve">      5015 Fundraising - Postage Expense</t>
  </si>
  <si>
    <t xml:space="preserve">      5016 Appeal Printing/Envelopes</t>
  </si>
  <si>
    <t xml:space="preserve">   Total 5001 FUNDRAISING</t>
  </si>
  <si>
    <t xml:space="preserve">   5100 PERSONNEL</t>
  </si>
  <si>
    <t xml:space="preserve">      5101 Salaries - Admin</t>
  </si>
  <si>
    <t xml:space="preserve">      5102 Salaries - Neighbor Ser.</t>
  </si>
  <si>
    <t xml:space="preserve">      5103 Salaries - Development</t>
  </si>
  <si>
    <t xml:space="preserve">      5104 Salaries - Operations</t>
  </si>
  <si>
    <t xml:space="preserve">         5104.1 Operations- Administration</t>
  </si>
  <si>
    <t xml:space="preserve">         5104.3 Operations - Food Pantry</t>
  </si>
  <si>
    <t xml:space="preserve">      Total 5104 Salaries - Operations</t>
  </si>
  <si>
    <t xml:space="preserve">      5105 Salaries - Mobile Services</t>
  </si>
  <si>
    <t xml:space="preserve">         5105.1 Family Collective</t>
  </si>
  <si>
    <t xml:space="preserve">      Total 5105 Salaries - Mobile Services</t>
  </si>
  <si>
    <t xml:space="preserve">      5106 Salaries - Store</t>
  </si>
  <si>
    <t xml:space="preserve">         5106.1 Salaries-Operations - Processing</t>
  </si>
  <si>
    <t xml:space="preserve">         5106.2 Retail - Clerks</t>
  </si>
  <si>
    <t xml:space="preserve">      Total 5106 Salaries - Store</t>
  </si>
  <si>
    <t xml:space="preserve">      5107 Salaries - Transportation</t>
  </si>
  <si>
    <t xml:space="preserve">      5108 Salaries- Marketing</t>
  </si>
  <si>
    <t xml:space="preserve">      5115 Payroll Taxes</t>
  </si>
  <si>
    <t xml:space="preserve">      5116 Retirement Plan</t>
  </si>
  <si>
    <t xml:space="preserve">      5117 Health Insurance</t>
  </si>
  <si>
    <t xml:space="preserve">      5118 Cell Phone Reimbursal</t>
  </si>
  <si>
    <t xml:space="preserve">   Total 5100 PERSONNEL</t>
  </si>
  <si>
    <t xml:space="preserve">   5111 PERSONNEL - OTHER EXPENSES</t>
  </si>
  <si>
    <t xml:space="preserve">      5120 Mileage</t>
  </si>
  <si>
    <t xml:space="preserve">         5120.1 Mileage - Admin</t>
  </si>
  <si>
    <t xml:space="preserve">         5120.2 Mileage - Operations</t>
  </si>
  <si>
    <t xml:space="preserve">         5120.3 Mileage - Neighbor Services</t>
  </si>
  <si>
    <t xml:space="preserve">         5120.4 Mileage - Development</t>
  </si>
  <si>
    <t xml:space="preserve">         5120.6 Mileage- Marketing</t>
  </si>
  <si>
    <t xml:space="preserve">      Total 5120 Mileage</t>
  </si>
  <si>
    <t xml:space="preserve">      5122 Drug Free Tenn</t>
  </si>
  <si>
    <t xml:space="preserve">      5123 Recruiting Expense</t>
  </si>
  <si>
    <t xml:space="preserve">      5124 Employee Appreciation</t>
  </si>
  <si>
    <t xml:space="preserve">         5124.1 Employee Appreciation - Admin</t>
  </si>
  <si>
    <t xml:space="preserve">         5124.2 Employee App. - Operations</t>
  </si>
  <si>
    <t xml:space="preserve">         5124.3 Employee App - Neighbor Serv</t>
  </si>
  <si>
    <t xml:space="preserve">         5124.4 Employee App - Development</t>
  </si>
  <si>
    <t xml:space="preserve">         5124.6 Employee App - Marketing</t>
  </si>
  <si>
    <t xml:space="preserve">      Total 5124 Employee Appreciation</t>
  </si>
  <si>
    <t xml:space="preserve">      5125 Continuing Education</t>
  </si>
  <si>
    <t xml:space="preserve">      5126 Staff Holiday Gifts</t>
  </si>
  <si>
    <t xml:space="preserve">   Total 5111 PERSONNEL - OTHER EXPENSES</t>
  </si>
  <si>
    <t xml:space="preserve">   5150 ADMINISTRATIVE EXPENSES</t>
  </si>
  <si>
    <t xml:space="preserve">      5151 Professional Fees</t>
  </si>
  <si>
    <t xml:space="preserve">      5153 Volunteer Appreciation &amp; Develo</t>
  </si>
  <si>
    <t xml:space="preserve">         5153.1 Volunteer App - Admin</t>
  </si>
  <si>
    <t xml:space="preserve">         5153.2 Volunteer App - Operations</t>
  </si>
  <si>
    <t xml:space="preserve">         5153.3 Volunteer App - Neighbor Serv</t>
  </si>
  <si>
    <t xml:space="preserve">         5153.4 Volunteer App - Development</t>
  </si>
  <si>
    <t xml:space="preserve">      Total 5153 Volunteer Appreciation &amp; Develo</t>
  </si>
  <si>
    <t xml:space="preserve">      5154 Business Meals</t>
  </si>
  <si>
    <t xml:space="preserve">         5154.1 Business Meals - Admin</t>
  </si>
  <si>
    <t xml:space="preserve">         5154.2 Business Meals - Operations</t>
  </si>
  <si>
    <t xml:space="preserve">         5154.3 Business Meals - Neighbor Serv</t>
  </si>
  <si>
    <t xml:space="preserve">         5154.4 Business Meals - Development</t>
  </si>
  <si>
    <t xml:space="preserve">         5154.6 Business Meals - Marketing</t>
  </si>
  <si>
    <t xml:space="preserve">      Total 5154 Business Meals</t>
  </si>
  <si>
    <t xml:space="preserve">      5156 Marketing</t>
  </si>
  <si>
    <t xml:space="preserve">      5157 Printing</t>
  </si>
  <si>
    <t xml:space="preserve">      5158 Postage and Freight</t>
  </si>
  <si>
    <t xml:space="preserve">      5160 Office Supplies</t>
  </si>
  <si>
    <t xml:space="preserve">         5160.1 Office Supplies - Admin</t>
  </si>
  <si>
    <t xml:space="preserve">         5160.2 Office Supplies - Operations</t>
  </si>
  <si>
    <t xml:space="preserve">         5160.3 Office Supplies - Neighbor Serv</t>
  </si>
  <si>
    <t xml:space="preserve">         5160.4 Office Supplies - Development</t>
  </si>
  <si>
    <t xml:space="preserve">         5160.6 Office Supplies - Marketing</t>
  </si>
  <si>
    <t xml:space="preserve">      Total 5160 Office Supplies</t>
  </si>
  <si>
    <t xml:space="preserve">      5314 Board Expenses</t>
  </si>
  <si>
    <t xml:space="preserve">      5320 Dues and Subscriptions</t>
  </si>
  <si>
    <t xml:space="preserve">      5330 Licenses and Fees</t>
  </si>
  <si>
    <t xml:space="preserve">      5340 Bank Fees</t>
  </si>
  <si>
    <t xml:space="preserve">      5341 Fees - Payroll Fees</t>
  </si>
  <si>
    <t xml:space="preserve">      5345 Lease Agreements</t>
  </si>
  <si>
    <t xml:space="preserve">      5350 Rent-Franklin</t>
  </si>
  <si>
    <t xml:space="preserve">      5351 Rent - Admin Bldg</t>
  </si>
  <si>
    <t xml:space="preserve">      5353 Rent - eSpaces</t>
  </si>
  <si>
    <t xml:space="preserve">      5360 Building Expenses</t>
  </si>
  <si>
    <t xml:space="preserve">         5361 Building Repair &amp; Maintenance</t>
  </si>
  <si>
    <t xml:space="preserve">         5362 Cleaning Services &amp; Supplies</t>
  </si>
  <si>
    <t xml:space="preserve">      Total 5360 Building Expenses</t>
  </si>
  <si>
    <t xml:space="preserve">      5364 Utilities</t>
  </si>
  <si>
    <t xml:space="preserve">      5365 Telephone</t>
  </si>
  <si>
    <t xml:space="preserve">      5366 Vehicle Expense</t>
  </si>
  <si>
    <t xml:space="preserve">      5367 Insurance</t>
  </si>
  <si>
    <t xml:space="preserve">      5380 Computer / Internet Expenses</t>
  </si>
  <si>
    <t xml:space="preserve">         5381 IT /  Consultant</t>
  </si>
  <si>
    <t xml:space="preserve">         5383 IT / Equipment or repairs</t>
  </si>
  <si>
    <t xml:space="preserve">         5384 Software &amp; Online Subscriptions</t>
  </si>
  <si>
    <t xml:space="preserve">      Total 5380 Computer / Internet Expenses</t>
  </si>
  <si>
    <t xml:space="preserve">      5390 Depreciation</t>
  </si>
  <si>
    <t xml:space="preserve">   Total 5150 ADMINISTRATIVE EXPENSES</t>
  </si>
  <si>
    <t xml:space="preserve">   5850 IN KIND DONATIONS</t>
  </si>
  <si>
    <t xml:space="preserve">      5860 In Kind - Administration</t>
  </si>
  <si>
    <t xml:space="preserve">      5861 In Kind - Development</t>
  </si>
  <si>
    <t xml:space="preserve">      5863 In Kind - Operations</t>
  </si>
  <si>
    <t xml:space="preserve">      5864 In Kind - Neighbor Services</t>
  </si>
  <si>
    <t xml:space="preserve">      5865 In Kind - Store</t>
  </si>
  <si>
    <t xml:space="preserve">      5866 In Kind - Food Pantry</t>
  </si>
  <si>
    <t xml:space="preserve">   Total 5850 IN KIND DONATIONS</t>
  </si>
  <si>
    <t xml:space="preserve">   6000 NEIGHBOR SERVICES</t>
  </si>
  <si>
    <t xml:space="preserve">      6005 Shelter</t>
  </si>
  <si>
    <t xml:space="preserve">         6005.1 Neighbor Shelter - Franklin</t>
  </si>
  <si>
    <t xml:space="preserve">      Total 6005 Shelter</t>
  </si>
  <si>
    <t xml:space="preserve">      6010 Neighbor Utilities Support</t>
  </si>
  <si>
    <t xml:space="preserve">         6010.1 Neighbor Utilities - Franklin</t>
  </si>
  <si>
    <t xml:space="preserve">      Total 6010 Neighbor Utilities Support</t>
  </si>
  <si>
    <t xml:space="preserve">      6011 Mobile Services - Expense</t>
  </si>
  <si>
    <t xml:space="preserve">         6011.3 Mobile Service - Non -shelter/utility</t>
  </si>
  <si>
    <t xml:space="preserve">      Total 6011 Mobile Services - Expense</t>
  </si>
  <si>
    <t xml:space="preserve">      6012 Neighbor - Homeless Support</t>
  </si>
  <si>
    <t xml:space="preserve">      6013 Neighbor Transportation/Repairs</t>
  </si>
  <si>
    <t xml:space="preserve">      6100 Neighbor Medical</t>
  </si>
  <si>
    <t xml:space="preserve">      6110 Our Little Angels</t>
  </si>
  <si>
    <t xml:space="preserve">      6400 Neighbor Special Needs</t>
  </si>
  <si>
    <t xml:space="preserve">      6500 Neighbor Christmas Manger</t>
  </si>
  <si>
    <t xml:space="preserve">      6550 Backpack Giveaway</t>
  </si>
  <si>
    <t xml:space="preserve">      6551 Neighbor AC/Heaters</t>
  </si>
  <si>
    <t xml:space="preserve">   Total 6000 NEIGHBOR SERVICES</t>
  </si>
  <si>
    <t xml:space="preserve">   6750 NEIGHBOR SERVICES - SPECIAL FUNDING</t>
  </si>
  <si>
    <t xml:space="preserve">   6900 NEIGHBOR FOOD PANTRY</t>
  </si>
  <si>
    <t xml:space="preserve">      6901 Food Pantry - Purchases</t>
  </si>
  <si>
    <t xml:space="preserve">      6902 Food Pantry - Nonfood Items</t>
  </si>
  <si>
    <t xml:space="preserve">      6903 Food Pantry - Hygiene Items</t>
  </si>
  <si>
    <t xml:space="preserve">      6904 Classroom Snack Boxes</t>
  </si>
  <si>
    <t xml:space="preserve">      6905 Food Pantry - Fuel Bags</t>
  </si>
  <si>
    <t xml:space="preserve">      6906 Mobile Food Pantry Expenses</t>
  </si>
  <si>
    <t xml:space="preserve">      6907 Food Pantry - Mileage</t>
  </si>
  <si>
    <t xml:space="preserve">   Total 6900 NEIGHBOR FOOD PANTRY</t>
  </si>
  <si>
    <t xml:space="preserve">   6950 STORE EXPENSE</t>
  </si>
  <si>
    <t xml:space="preserve">      6951 Store Supplies</t>
  </si>
  <si>
    <t xml:space="preserve">      6952 Store Disposal / Trash</t>
  </si>
  <si>
    <t xml:space="preserve">      6954 Processing Expenses</t>
  </si>
  <si>
    <t xml:space="preserve">   Total 6950 STORE EXPENSE</t>
  </si>
  <si>
    <t>Total Expenses</t>
  </si>
  <si>
    <t>Net Operating Income</t>
  </si>
  <si>
    <t>Net Income</t>
  </si>
  <si>
    <t>Tuesday, Jul 12, 2022 08:07:16 AM GMT-7 - Accrual Basis</t>
  </si>
  <si>
    <t>GraceWorks Ministries</t>
  </si>
  <si>
    <t xml:space="preserve">Budget Overview: 2022-2023 - FY23 P&amp;L </t>
  </si>
  <si>
    <t>July 2022 - June 2023</t>
  </si>
  <si>
    <t>GraceWorks Budget</t>
  </si>
  <si>
    <t>FY23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</si>
</sst>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#,##0.00\ _€"/>
    <numFmt numFmtId="165" formatCode="&quot;$&quot;* #,##0.00\ _€"/>
  </numFmts>
  <fonts count="9" x14ac:knownFonts="1">
    <font>
      <sz val="11"/>
      <color indexed="8"/>
      <name val="Calibri"/>
      <family val="2"/>
      <scheme val="minor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164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right" wrapText="1"/>
    </xf>
    <xf numFmtId="165" fontId="6" fillId="0" borderId="2" xfId="0" applyNumberFormat="1" applyFont="1" applyBorder="1" applyAlignment="1">
      <alignment horizontal="right" wrapText="1"/>
    </xf>
    <xf numFmtId="165" fontId="6" fillId="0" borderId="3" xfId="0" applyNumberFormat="1" applyFont="1" applyBorder="1" applyAlignment="1">
      <alignment horizontal="right" wrapText="1"/>
    </xf>
    <xf numFmtId="0" fontId="7" fillId="0" borderId="4" xfId="0" applyFont="1" applyBorder="1"/>
    <xf numFmtId="0" fontId="7" fillId="0" borderId="4" xfId="0" applyFont="1" applyBorder="1" applyAlignment="1">
      <alignment wrapText="1"/>
    </xf>
    <xf numFmtId="0" fontId="8" fillId="0" borderId="4" xfId="0" applyFont="1" applyBorder="1"/>
    <xf numFmtId="8" fontId="7" fillId="0" borderId="4" xfId="0" applyNumberFormat="1" applyFont="1" applyBorder="1"/>
    <xf numFmtId="8" fontId="8" fillId="0" borderId="4" xfId="0" applyNumberFormat="1" applyFont="1" applyBorder="1"/>
    <xf numFmtId="0" fontId="2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7"/>
  <sheetViews>
    <sheetView workbookViewId="0">
      <selection activeCell="C24" sqref="C24"/>
    </sheetView>
  </sheetViews>
  <sheetFormatPr defaultRowHeight="14.4" x14ac:dyDescent="0.3"/>
  <cols>
    <col min="1" max="1" width="46.109375" bestFit="1" customWidth="1"/>
    <col min="2" max="2" width="19.44140625" bestFit="1" customWidth="1"/>
  </cols>
  <sheetData>
    <row r="1" spans="1:2" ht="17.399999999999999" x14ac:dyDescent="0.3">
      <c r="A1" s="17" t="s">
        <v>180</v>
      </c>
      <c r="B1" s="16"/>
    </row>
    <row r="2" spans="1:2" ht="17.399999999999999" x14ac:dyDescent="0.3">
      <c r="A2" s="17" t="s">
        <v>181</v>
      </c>
      <c r="B2" s="16"/>
    </row>
    <row r="3" spans="1:2" x14ac:dyDescent="0.3">
      <c r="A3" s="18" t="s">
        <v>182</v>
      </c>
      <c r="B3" s="16"/>
    </row>
    <row r="5" spans="1:2" ht="18" x14ac:dyDescent="0.35">
      <c r="A5" s="3"/>
      <c r="B5" s="4" t="s">
        <v>0</v>
      </c>
    </row>
    <row r="6" spans="1:2" ht="18" x14ac:dyDescent="0.35">
      <c r="A6" s="5" t="s">
        <v>1</v>
      </c>
      <c r="B6" s="6"/>
    </row>
    <row r="7" spans="1:2" ht="18" x14ac:dyDescent="0.35">
      <c r="A7" s="5" t="s">
        <v>2</v>
      </c>
      <c r="B7" s="7">
        <f>296200</f>
        <v>296200</v>
      </c>
    </row>
    <row r="8" spans="1:2" ht="18" x14ac:dyDescent="0.35">
      <c r="A8" s="5" t="s">
        <v>3</v>
      </c>
      <c r="B8" s="7">
        <f>1580000</f>
        <v>1580000</v>
      </c>
    </row>
    <row r="9" spans="1:2" ht="18" x14ac:dyDescent="0.35">
      <c r="A9" s="5" t="s">
        <v>4</v>
      </c>
      <c r="B9" s="7">
        <f>180000</f>
        <v>180000</v>
      </c>
    </row>
    <row r="10" spans="1:2" ht="35.4" x14ac:dyDescent="0.35">
      <c r="A10" s="5" t="s">
        <v>5</v>
      </c>
      <c r="B10" s="6"/>
    </row>
    <row r="11" spans="1:2" ht="18" x14ac:dyDescent="0.35">
      <c r="A11" s="5" t="s">
        <v>6</v>
      </c>
      <c r="B11" s="7">
        <f>175000</f>
        <v>175000</v>
      </c>
    </row>
    <row r="12" spans="1:2" ht="18" x14ac:dyDescent="0.35">
      <c r="A12" s="5" t="s">
        <v>7</v>
      </c>
      <c r="B12" s="7">
        <f>220000</f>
        <v>220000</v>
      </c>
    </row>
    <row r="13" spans="1:2" ht="18" x14ac:dyDescent="0.35">
      <c r="A13" s="5" t="s">
        <v>8</v>
      </c>
      <c r="B13" s="7">
        <f>153000</f>
        <v>153000</v>
      </c>
    </row>
    <row r="14" spans="1:2" ht="18" x14ac:dyDescent="0.35">
      <c r="A14" s="5" t="s">
        <v>9</v>
      </c>
      <c r="B14" s="7">
        <f>80000</f>
        <v>80000</v>
      </c>
    </row>
    <row r="15" spans="1:2" ht="18" x14ac:dyDescent="0.35">
      <c r="A15" s="5" t="s">
        <v>10</v>
      </c>
      <c r="B15" s="7">
        <f>163000</f>
        <v>163000</v>
      </c>
    </row>
    <row r="16" spans="1:2" ht="34.799999999999997" x14ac:dyDescent="0.3">
      <c r="A16" s="5" t="s">
        <v>11</v>
      </c>
      <c r="B16" s="8">
        <f>(((((B10)+(B11))+(B12))+(B13))+(B14))+(B15)</f>
        <v>791000</v>
      </c>
    </row>
    <row r="17" spans="1:2" ht="18" x14ac:dyDescent="0.35">
      <c r="A17" s="5" t="s">
        <v>12</v>
      </c>
      <c r="B17" s="6"/>
    </row>
    <row r="18" spans="1:2" ht="18" x14ac:dyDescent="0.35">
      <c r="A18" s="5" t="s">
        <v>13</v>
      </c>
      <c r="B18" s="6"/>
    </row>
    <row r="19" spans="1:2" ht="18" x14ac:dyDescent="0.35">
      <c r="A19" s="5" t="s">
        <v>14</v>
      </c>
      <c r="B19" s="7">
        <f>75000</f>
        <v>75000</v>
      </c>
    </row>
    <row r="20" spans="1:2" ht="18" x14ac:dyDescent="0.35">
      <c r="A20" s="5" t="s">
        <v>15</v>
      </c>
      <c r="B20" s="7">
        <f>75800</f>
        <v>75800</v>
      </c>
    </row>
    <row r="21" spans="1:2" ht="17.399999999999999" x14ac:dyDescent="0.3">
      <c r="A21" s="5" t="s">
        <v>16</v>
      </c>
      <c r="B21" s="8">
        <f>((B18)+(B19))+(B20)</f>
        <v>150800</v>
      </c>
    </row>
    <row r="22" spans="1:2" ht="18" x14ac:dyDescent="0.35">
      <c r="A22" s="5" t="s">
        <v>17</v>
      </c>
      <c r="B22" s="7">
        <f>220000</f>
        <v>220000</v>
      </c>
    </row>
    <row r="23" spans="1:2" ht="17.399999999999999" x14ac:dyDescent="0.3">
      <c r="A23" s="5" t="s">
        <v>18</v>
      </c>
      <c r="B23" s="8">
        <f>((B17)+(B21))+(B22)</f>
        <v>370800</v>
      </c>
    </row>
    <row r="24" spans="1:2" ht="18" x14ac:dyDescent="0.35">
      <c r="A24" s="5" t="s">
        <v>19</v>
      </c>
      <c r="B24" s="6"/>
    </row>
    <row r="25" spans="1:2" ht="18" x14ac:dyDescent="0.35">
      <c r="A25" s="5" t="s">
        <v>20</v>
      </c>
      <c r="B25" s="7">
        <f>1350000</f>
        <v>1350000</v>
      </c>
    </row>
    <row r="26" spans="1:2" ht="35.4" x14ac:dyDescent="0.35">
      <c r="A26" s="5" t="s">
        <v>21</v>
      </c>
      <c r="B26" s="7">
        <f>90000</f>
        <v>90000</v>
      </c>
    </row>
    <row r="27" spans="1:2" ht="17.399999999999999" x14ac:dyDescent="0.3">
      <c r="A27" s="5" t="s">
        <v>22</v>
      </c>
      <c r="B27" s="8">
        <f>((B24)+(B25))+(B26)</f>
        <v>1440000</v>
      </c>
    </row>
    <row r="28" spans="1:2" ht="18" x14ac:dyDescent="0.35">
      <c r="A28" s="5" t="s">
        <v>23</v>
      </c>
      <c r="B28" s="6"/>
    </row>
    <row r="29" spans="1:2" ht="18" x14ac:dyDescent="0.35">
      <c r="A29" s="5" t="s">
        <v>24</v>
      </c>
      <c r="B29" s="7">
        <f>65000</f>
        <v>65000</v>
      </c>
    </row>
    <row r="30" spans="1:2" ht="18" x14ac:dyDescent="0.35">
      <c r="A30" s="5" t="s">
        <v>25</v>
      </c>
      <c r="B30" s="7">
        <f>45000</f>
        <v>45000</v>
      </c>
    </row>
    <row r="31" spans="1:2" ht="18" x14ac:dyDescent="0.35">
      <c r="A31" s="5" t="s">
        <v>26</v>
      </c>
      <c r="B31" s="7">
        <f>2500</f>
        <v>2500</v>
      </c>
    </row>
    <row r="32" spans="1:2" ht="18" x14ac:dyDescent="0.35">
      <c r="A32" s="5" t="s">
        <v>27</v>
      </c>
      <c r="B32" s="7">
        <f>600000</f>
        <v>600000</v>
      </c>
    </row>
    <row r="33" spans="1:2" ht="18" x14ac:dyDescent="0.35">
      <c r="A33" s="5" t="s">
        <v>28</v>
      </c>
      <c r="B33" s="7">
        <f>1200000</f>
        <v>1200000</v>
      </c>
    </row>
    <row r="34" spans="1:2" ht="18" x14ac:dyDescent="0.35">
      <c r="A34" s="5" t="s">
        <v>29</v>
      </c>
      <c r="B34" s="7">
        <f>1500000</f>
        <v>1500000</v>
      </c>
    </row>
    <row r="35" spans="1:2" ht="17.399999999999999" x14ac:dyDescent="0.3">
      <c r="A35" s="5" t="s">
        <v>30</v>
      </c>
      <c r="B35" s="8">
        <f>((((((B28)+(B29))+(B30))+(B31))+(B32))+(B33))+(B34)</f>
        <v>3412500</v>
      </c>
    </row>
    <row r="36" spans="1:2" ht="17.399999999999999" x14ac:dyDescent="0.3">
      <c r="A36" s="5" t="s">
        <v>31</v>
      </c>
      <c r="B36" s="8">
        <f>((((((B7)+(B8))+(B9))+(B16))+(B23))+(B27))+(B35)</f>
        <v>8070500</v>
      </c>
    </row>
    <row r="37" spans="1:2" ht="17.399999999999999" x14ac:dyDescent="0.3">
      <c r="A37" s="5" t="s">
        <v>32</v>
      </c>
      <c r="B37" s="8">
        <f>(B36)-(0)</f>
        <v>8070500</v>
      </c>
    </row>
    <row r="38" spans="1:2" ht="18" x14ac:dyDescent="0.35">
      <c r="A38" s="5" t="s">
        <v>33</v>
      </c>
      <c r="B38" s="6"/>
    </row>
    <row r="39" spans="1:2" ht="18" x14ac:dyDescent="0.35">
      <c r="A39" s="5" t="s">
        <v>34</v>
      </c>
      <c r="B39" s="6"/>
    </row>
    <row r="40" spans="1:2" ht="18" x14ac:dyDescent="0.35">
      <c r="A40" s="5" t="s">
        <v>35</v>
      </c>
      <c r="B40" s="7">
        <f>65000</f>
        <v>65000</v>
      </c>
    </row>
    <row r="41" spans="1:2" ht="35.4" x14ac:dyDescent="0.35">
      <c r="A41" s="5" t="s">
        <v>36</v>
      </c>
      <c r="B41" s="7">
        <f>10600</f>
        <v>10600</v>
      </c>
    </row>
    <row r="42" spans="1:2" ht="18" x14ac:dyDescent="0.35">
      <c r="A42" s="5" t="s">
        <v>37</v>
      </c>
      <c r="B42" s="7">
        <f>63100</f>
        <v>63100</v>
      </c>
    </row>
    <row r="43" spans="1:2" ht="18" x14ac:dyDescent="0.35">
      <c r="A43" s="5" t="s">
        <v>38</v>
      </c>
      <c r="B43" s="7">
        <f>26000</f>
        <v>26000</v>
      </c>
    </row>
    <row r="44" spans="1:2" ht="18" x14ac:dyDescent="0.35">
      <c r="A44" s="5" t="s">
        <v>39</v>
      </c>
      <c r="B44" s="7">
        <f>35000</f>
        <v>35000</v>
      </c>
    </row>
    <row r="45" spans="1:2" ht="35.4" x14ac:dyDescent="0.35">
      <c r="A45" s="5" t="s">
        <v>40</v>
      </c>
      <c r="B45" s="7">
        <f>22600</f>
        <v>22600</v>
      </c>
    </row>
    <row r="46" spans="1:2" ht="18" x14ac:dyDescent="0.35">
      <c r="A46" s="5" t="s">
        <v>41</v>
      </c>
      <c r="B46" s="7">
        <f>37800</f>
        <v>37800</v>
      </c>
    </row>
    <row r="47" spans="1:2" ht="17.399999999999999" x14ac:dyDescent="0.3">
      <c r="A47" s="5" t="s">
        <v>42</v>
      </c>
      <c r="B47" s="8">
        <f>(((((((B39)+(B40))+(B41))+(B42))+(B43))+(B44))+(B45))+(B46)</f>
        <v>260100</v>
      </c>
    </row>
    <row r="48" spans="1:2" ht="18" x14ac:dyDescent="0.35">
      <c r="A48" s="5" t="s">
        <v>43</v>
      </c>
      <c r="B48" s="6"/>
    </row>
    <row r="49" spans="1:2" ht="18" x14ac:dyDescent="0.35">
      <c r="A49" s="5" t="s">
        <v>44</v>
      </c>
      <c r="B49" s="7">
        <f>288500</f>
        <v>288500</v>
      </c>
    </row>
    <row r="50" spans="1:2" ht="18" x14ac:dyDescent="0.35">
      <c r="A50" s="5" t="s">
        <v>45</v>
      </c>
      <c r="B50" s="7">
        <f>298500</f>
        <v>298500</v>
      </c>
    </row>
    <row r="51" spans="1:2" ht="18" x14ac:dyDescent="0.35">
      <c r="A51" s="5" t="s">
        <v>46</v>
      </c>
      <c r="B51" s="7">
        <f>331000</f>
        <v>331000</v>
      </c>
    </row>
    <row r="52" spans="1:2" ht="18" x14ac:dyDescent="0.35">
      <c r="A52" s="5" t="s">
        <v>47</v>
      </c>
      <c r="B52" s="6"/>
    </row>
    <row r="53" spans="1:2" ht="35.4" x14ac:dyDescent="0.35">
      <c r="A53" s="5" t="s">
        <v>48</v>
      </c>
      <c r="B53" s="7">
        <f>127400</f>
        <v>127400</v>
      </c>
    </row>
    <row r="54" spans="1:2" ht="18" x14ac:dyDescent="0.35">
      <c r="A54" s="5" t="s">
        <v>49</v>
      </c>
      <c r="B54" s="7">
        <f>48000</f>
        <v>48000</v>
      </c>
    </row>
    <row r="55" spans="1:2" ht="17.399999999999999" x14ac:dyDescent="0.3">
      <c r="A55" s="5" t="s">
        <v>50</v>
      </c>
      <c r="B55" s="8">
        <f>((B52)+(B53))+(B54)</f>
        <v>175400</v>
      </c>
    </row>
    <row r="56" spans="1:2" ht="18" x14ac:dyDescent="0.35">
      <c r="A56" s="5" t="s">
        <v>51</v>
      </c>
      <c r="B56" s="6"/>
    </row>
    <row r="57" spans="1:2" ht="18" x14ac:dyDescent="0.35">
      <c r="A57" s="5" t="s">
        <v>52</v>
      </c>
      <c r="B57" s="7">
        <f>60000</f>
        <v>60000</v>
      </c>
    </row>
    <row r="58" spans="1:2" ht="34.799999999999997" x14ac:dyDescent="0.3">
      <c r="A58" s="5" t="s">
        <v>53</v>
      </c>
      <c r="B58" s="8">
        <f>(B56)+(B57)</f>
        <v>60000</v>
      </c>
    </row>
    <row r="59" spans="1:2" ht="18" x14ac:dyDescent="0.35">
      <c r="A59" s="5" t="s">
        <v>54</v>
      </c>
      <c r="B59" s="6"/>
    </row>
    <row r="60" spans="1:2" ht="35.4" x14ac:dyDescent="0.35">
      <c r="A60" s="5" t="s">
        <v>55</v>
      </c>
      <c r="B60" s="7">
        <f>151000</f>
        <v>151000</v>
      </c>
    </row>
    <row r="61" spans="1:2" ht="18" x14ac:dyDescent="0.35">
      <c r="A61" s="5" t="s">
        <v>56</v>
      </c>
      <c r="B61" s="7">
        <f>204000</f>
        <v>204000</v>
      </c>
    </row>
    <row r="62" spans="1:2" ht="17.399999999999999" x14ac:dyDescent="0.3">
      <c r="A62" s="5" t="s">
        <v>57</v>
      </c>
      <c r="B62" s="8">
        <f>((B59)+(B60))+(B61)</f>
        <v>355000</v>
      </c>
    </row>
    <row r="63" spans="1:2" ht="18" x14ac:dyDescent="0.35">
      <c r="A63" s="5" t="s">
        <v>58</v>
      </c>
      <c r="B63" s="7">
        <f>145000</f>
        <v>145000</v>
      </c>
    </row>
    <row r="64" spans="1:2" ht="18" x14ac:dyDescent="0.35">
      <c r="A64" s="5" t="s">
        <v>59</v>
      </c>
      <c r="B64" s="7">
        <f>114000</f>
        <v>114000</v>
      </c>
    </row>
    <row r="65" spans="1:2" ht="18" x14ac:dyDescent="0.35">
      <c r="A65" s="5" t="s">
        <v>60</v>
      </c>
      <c r="B65" s="7">
        <f>133000</f>
        <v>133000</v>
      </c>
    </row>
    <row r="66" spans="1:2" ht="18" x14ac:dyDescent="0.35">
      <c r="A66" s="5" t="s">
        <v>61</v>
      </c>
      <c r="B66" s="7">
        <f>55000</f>
        <v>55000</v>
      </c>
    </row>
    <row r="67" spans="1:2" ht="18" x14ac:dyDescent="0.35">
      <c r="A67" s="5" t="s">
        <v>62</v>
      </c>
      <c r="B67" s="7">
        <f>315000</f>
        <v>315000</v>
      </c>
    </row>
    <row r="68" spans="1:2" ht="18" x14ac:dyDescent="0.35">
      <c r="A68" s="5" t="s">
        <v>63</v>
      </c>
      <c r="B68" s="7">
        <f>10200</f>
        <v>10200</v>
      </c>
    </row>
    <row r="69" spans="1:2" ht="17.399999999999999" x14ac:dyDescent="0.3">
      <c r="A69" s="5" t="s">
        <v>64</v>
      </c>
      <c r="B69" s="8">
        <f>((((((((((((B48)+(B49))+(B50))+(B51))+(B55))+(B58))+(B62))+(B63))+(B64))+(B65))+(B66))+(B67))+(B68)</f>
        <v>2280600</v>
      </c>
    </row>
    <row r="70" spans="1:2" ht="35.4" x14ac:dyDescent="0.35">
      <c r="A70" s="5" t="s">
        <v>65</v>
      </c>
      <c r="B70" s="6"/>
    </row>
    <row r="71" spans="1:2" ht="18" x14ac:dyDescent="0.35">
      <c r="A71" s="5" t="s">
        <v>66</v>
      </c>
      <c r="B71" s="6"/>
    </row>
    <row r="72" spans="1:2" ht="18" x14ac:dyDescent="0.35">
      <c r="A72" s="5" t="s">
        <v>67</v>
      </c>
      <c r="B72" s="7">
        <f>1500</f>
        <v>1500</v>
      </c>
    </row>
    <row r="73" spans="1:2" ht="18" x14ac:dyDescent="0.35">
      <c r="A73" s="5" t="s">
        <v>68</v>
      </c>
      <c r="B73" s="7">
        <f>300</f>
        <v>300</v>
      </c>
    </row>
    <row r="74" spans="1:2" ht="35.4" x14ac:dyDescent="0.35">
      <c r="A74" s="5" t="s">
        <v>69</v>
      </c>
      <c r="B74" s="7">
        <f>800</f>
        <v>800</v>
      </c>
    </row>
    <row r="75" spans="1:2" ht="18" x14ac:dyDescent="0.35">
      <c r="A75" s="5" t="s">
        <v>70</v>
      </c>
      <c r="B75" s="7">
        <f>1900</f>
        <v>1900</v>
      </c>
    </row>
    <row r="76" spans="1:2" ht="18" x14ac:dyDescent="0.35">
      <c r="A76" s="5" t="s">
        <v>71</v>
      </c>
      <c r="B76" s="7">
        <f>500</f>
        <v>500</v>
      </c>
    </row>
    <row r="77" spans="1:2" ht="17.399999999999999" x14ac:dyDescent="0.3">
      <c r="A77" s="5" t="s">
        <v>72</v>
      </c>
      <c r="B77" s="8">
        <f>(((((B71)+(B72))+(B73))+(B74))+(B75))+(B76)</f>
        <v>5000</v>
      </c>
    </row>
    <row r="78" spans="1:2" ht="18" x14ac:dyDescent="0.35">
      <c r="A78" s="5" t="s">
        <v>73</v>
      </c>
      <c r="B78" s="7">
        <f>1500</f>
        <v>1500</v>
      </c>
    </row>
    <row r="79" spans="1:2" ht="18" x14ac:dyDescent="0.35">
      <c r="A79" s="5" t="s">
        <v>74</v>
      </c>
      <c r="B79" s="7">
        <f>2000</f>
        <v>2000</v>
      </c>
    </row>
    <row r="80" spans="1:2" ht="18" x14ac:dyDescent="0.35">
      <c r="A80" s="5" t="s">
        <v>75</v>
      </c>
      <c r="B80" s="6"/>
    </row>
    <row r="81" spans="1:2" ht="35.4" x14ac:dyDescent="0.35">
      <c r="A81" s="5" t="s">
        <v>76</v>
      </c>
      <c r="B81" s="7">
        <f>2500</f>
        <v>2500</v>
      </c>
    </row>
    <row r="82" spans="1:2" ht="35.4" x14ac:dyDescent="0.35">
      <c r="A82" s="5" t="s">
        <v>77</v>
      </c>
      <c r="B82" s="7">
        <f>1750</f>
        <v>1750</v>
      </c>
    </row>
    <row r="83" spans="1:2" ht="35.4" x14ac:dyDescent="0.35">
      <c r="A83" s="5" t="s">
        <v>78</v>
      </c>
      <c r="B83" s="7">
        <f>1050</f>
        <v>1050</v>
      </c>
    </row>
    <row r="84" spans="1:2" ht="35.4" x14ac:dyDescent="0.35">
      <c r="A84" s="5" t="s">
        <v>79</v>
      </c>
      <c r="B84" s="7">
        <f>1900</f>
        <v>1900</v>
      </c>
    </row>
    <row r="85" spans="1:2" ht="18" x14ac:dyDescent="0.35">
      <c r="A85" s="5" t="s">
        <v>80</v>
      </c>
      <c r="B85" s="7">
        <f>250</f>
        <v>250</v>
      </c>
    </row>
    <row r="86" spans="1:2" ht="17.399999999999999" x14ac:dyDescent="0.3">
      <c r="A86" s="5" t="s">
        <v>81</v>
      </c>
      <c r="B86" s="8">
        <f>(((((B80)+(B81))+(B82))+(B83))+(B84))+(B85)</f>
        <v>7450</v>
      </c>
    </row>
    <row r="87" spans="1:2" ht="18" x14ac:dyDescent="0.35">
      <c r="A87" s="5" t="s">
        <v>82</v>
      </c>
      <c r="B87" s="7">
        <f>13000</f>
        <v>13000</v>
      </c>
    </row>
    <row r="88" spans="1:2" ht="18" x14ac:dyDescent="0.35">
      <c r="A88" s="5" t="s">
        <v>83</v>
      </c>
      <c r="B88" s="7">
        <f>2500</f>
        <v>2500</v>
      </c>
    </row>
    <row r="89" spans="1:2" ht="34.799999999999997" x14ac:dyDescent="0.3">
      <c r="A89" s="5" t="s">
        <v>84</v>
      </c>
      <c r="B89" s="8">
        <f>((((((B70)+(B77))+(B78))+(B79))+(B86))+(B87))+(B88)</f>
        <v>31450</v>
      </c>
    </row>
    <row r="90" spans="1:2" ht="35.4" x14ac:dyDescent="0.35">
      <c r="A90" s="5" t="s">
        <v>85</v>
      </c>
      <c r="B90" s="6"/>
    </row>
    <row r="91" spans="1:2" ht="18" x14ac:dyDescent="0.35">
      <c r="A91" s="5" t="s">
        <v>86</v>
      </c>
      <c r="B91" s="7">
        <f>25000</f>
        <v>25000</v>
      </c>
    </row>
    <row r="92" spans="1:2" ht="35.4" x14ac:dyDescent="0.35">
      <c r="A92" s="5" t="s">
        <v>87</v>
      </c>
      <c r="B92" s="6"/>
    </row>
    <row r="93" spans="1:2" ht="18" x14ac:dyDescent="0.35">
      <c r="A93" s="5" t="s">
        <v>88</v>
      </c>
      <c r="B93" s="7">
        <f>1000</f>
        <v>1000</v>
      </c>
    </row>
    <row r="94" spans="1:2" ht="35.4" x14ac:dyDescent="0.35">
      <c r="A94" s="5" t="s">
        <v>89</v>
      </c>
      <c r="B94" s="7">
        <f>1000</f>
        <v>1000</v>
      </c>
    </row>
    <row r="95" spans="1:2" ht="35.4" x14ac:dyDescent="0.35">
      <c r="A95" s="5" t="s">
        <v>90</v>
      </c>
      <c r="B95" s="7">
        <f>1500</f>
        <v>1500</v>
      </c>
    </row>
    <row r="96" spans="1:2" ht="35.4" x14ac:dyDescent="0.35">
      <c r="A96" s="5" t="s">
        <v>91</v>
      </c>
      <c r="B96" s="7">
        <f>7000</f>
        <v>7000</v>
      </c>
    </row>
    <row r="97" spans="1:2" ht="34.799999999999997" x14ac:dyDescent="0.3">
      <c r="A97" s="5" t="s">
        <v>92</v>
      </c>
      <c r="B97" s="8">
        <f>((((B92)+(B93))+(B94))+(B95))+(B96)</f>
        <v>10500</v>
      </c>
    </row>
    <row r="98" spans="1:2" ht="18" x14ac:dyDescent="0.35">
      <c r="A98" s="5" t="s">
        <v>93</v>
      </c>
      <c r="B98" s="6"/>
    </row>
    <row r="99" spans="1:2" ht="18" x14ac:dyDescent="0.35">
      <c r="A99" s="5" t="s">
        <v>94</v>
      </c>
      <c r="B99" s="7">
        <f>3000</f>
        <v>3000</v>
      </c>
    </row>
    <row r="100" spans="1:2" ht="35.4" x14ac:dyDescent="0.35">
      <c r="A100" s="5" t="s">
        <v>95</v>
      </c>
      <c r="B100" s="7">
        <f>1000</f>
        <v>1000</v>
      </c>
    </row>
    <row r="101" spans="1:2" ht="35.4" x14ac:dyDescent="0.35">
      <c r="A101" s="5" t="s">
        <v>96</v>
      </c>
      <c r="B101" s="7">
        <f>1500</f>
        <v>1500</v>
      </c>
    </row>
    <row r="102" spans="1:2" ht="35.4" x14ac:dyDescent="0.35">
      <c r="A102" s="5" t="s">
        <v>97</v>
      </c>
      <c r="B102" s="7">
        <f>7000</f>
        <v>7000</v>
      </c>
    </row>
    <row r="103" spans="1:2" ht="35.4" x14ac:dyDescent="0.35">
      <c r="A103" s="5" t="s">
        <v>98</v>
      </c>
      <c r="B103" s="7">
        <f>500</f>
        <v>500</v>
      </c>
    </row>
    <row r="104" spans="1:2" ht="17.399999999999999" x14ac:dyDescent="0.3">
      <c r="A104" s="5" t="s">
        <v>99</v>
      </c>
      <c r="B104" s="8">
        <f>(((((B98)+(B99))+(B100))+(B101))+(B102))+(B103)</f>
        <v>13000</v>
      </c>
    </row>
    <row r="105" spans="1:2" ht="18" x14ac:dyDescent="0.35">
      <c r="A105" s="5" t="s">
        <v>100</v>
      </c>
      <c r="B105" s="7">
        <f>50000</f>
        <v>50000</v>
      </c>
    </row>
    <row r="106" spans="1:2" ht="18" x14ac:dyDescent="0.35">
      <c r="A106" s="5" t="s">
        <v>101</v>
      </c>
      <c r="B106" s="7">
        <f>30000</f>
        <v>30000</v>
      </c>
    </row>
    <row r="107" spans="1:2" ht="18" x14ac:dyDescent="0.35">
      <c r="A107" s="5" t="s">
        <v>102</v>
      </c>
      <c r="B107" s="7">
        <f>20000</f>
        <v>20000</v>
      </c>
    </row>
    <row r="108" spans="1:2" ht="18" x14ac:dyDescent="0.35">
      <c r="A108" s="5" t="s">
        <v>103</v>
      </c>
      <c r="B108" s="6"/>
    </row>
    <row r="109" spans="1:2" ht="18" x14ac:dyDescent="0.35">
      <c r="A109" s="5" t="s">
        <v>104</v>
      </c>
      <c r="B109" s="7">
        <f>4000</f>
        <v>4000</v>
      </c>
    </row>
    <row r="110" spans="1:2" ht="35.4" x14ac:dyDescent="0.35">
      <c r="A110" s="5" t="s">
        <v>105</v>
      </c>
      <c r="B110" s="7">
        <f>3300</f>
        <v>3300</v>
      </c>
    </row>
    <row r="111" spans="1:2" ht="35.4" x14ac:dyDescent="0.35">
      <c r="A111" s="5" t="s">
        <v>106</v>
      </c>
      <c r="B111" s="7">
        <f>2500</f>
        <v>2500</v>
      </c>
    </row>
    <row r="112" spans="1:2" ht="35.4" x14ac:dyDescent="0.35">
      <c r="A112" s="5" t="s">
        <v>107</v>
      </c>
      <c r="B112" s="7">
        <f>1700</f>
        <v>1700</v>
      </c>
    </row>
    <row r="113" spans="1:2" ht="35.4" x14ac:dyDescent="0.35">
      <c r="A113" s="5" t="s">
        <v>108</v>
      </c>
      <c r="B113" s="7">
        <f>500</f>
        <v>500</v>
      </c>
    </row>
    <row r="114" spans="1:2" ht="17.399999999999999" x14ac:dyDescent="0.3">
      <c r="A114" s="5" t="s">
        <v>109</v>
      </c>
      <c r="B114" s="8">
        <f>(((((B108)+(B109))+(B110))+(B111))+(B112))+(B113)</f>
        <v>12000</v>
      </c>
    </row>
    <row r="115" spans="1:2" ht="18" x14ac:dyDescent="0.35">
      <c r="A115" s="5" t="s">
        <v>110</v>
      </c>
      <c r="B115" s="7">
        <f>2400</f>
        <v>2400</v>
      </c>
    </row>
    <row r="116" spans="1:2" ht="18" x14ac:dyDescent="0.35">
      <c r="A116" s="5" t="s">
        <v>111</v>
      </c>
      <c r="B116" s="7">
        <f>20000</f>
        <v>20000</v>
      </c>
    </row>
    <row r="117" spans="1:2" ht="18" x14ac:dyDescent="0.35">
      <c r="A117" s="5" t="s">
        <v>112</v>
      </c>
      <c r="B117" s="7">
        <f>1000</f>
        <v>1000</v>
      </c>
    </row>
    <row r="118" spans="1:2" ht="18" x14ac:dyDescent="0.35">
      <c r="A118" s="5" t="s">
        <v>113</v>
      </c>
      <c r="B118" s="7">
        <f>60000</f>
        <v>60000</v>
      </c>
    </row>
    <row r="119" spans="1:2" ht="18" x14ac:dyDescent="0.35">
      <c r="A119" s="5" t="s">
        <v>114</v>
      </c>
      <c r="B119" s="7">
        <f>22500</f>
        <v>22500</v>
      </c>
    </row>
    <row r="120" spans="1:2" ht="18" x14ac:dyDescent="0.35">
      <c r="A120" s="5" t="s">
        <v>115</v>
      </c>
      <c r="B120" s="7">
        <f>8000</f>
        <v>8000</v>
      </c>
    </row>
    <row r="121" spans="1:2" ht="18" x14ac:dyDescent="0.35">
      <c r="A121" s="5" t="s">
        <v>116</v>
      </c>
      <c r="B121" s="7">
        <f>177600</f>
        <v>177600</v>
      </c>
    </row>
    <row r="122" spans="1:2" ht="18" x14ac:dyDescent="0.35">
      <c r="A122" s="5" t="s">
        <v>117</v>
      </c>
      <c r="B122" s="7">
        <f>12000</f>
        <v>12000</v>
      </c>
    </row>
    <row r="123" spans="1:2" ht="18" x14ac:dyDescent="0.35">
      <c r="A123" s="5" t="s">
        <v>118</v>
      </c>
      <c r="B123" s="7">
        <f>3000</f>
        <v>3000</v>
      </c>
    </row>
    <row r="124" spans="1:2" ht="18" x14ac:dyDescent="0.35">
      <c r="A124" s="5" t="s">
        <v>119</v>
      </c>
      <c r="B124" s="6"/>
    </row>
    <row r="125" spans="1:2" ht="35.4" x14ac:dyDescent="0.35">
      <c r="A125" s="5" t="s">
        <v>120</v>
      </c>
      <c r="B125" s="7">
        <f>20000</f>
        <v>20000</v>
      </c>
    </row>
    <row r="126" spans="1:2" ht="18" x14ac:dyDescent="0.35">
      <c r="A126" s="5" t="s">
        <v>121</v>
      </c>
      <c r="B126" s="7">
        <f>19000</f>
        <v>19000</v>
      </c>
    </row>
    <row r="127" spans="1:2" ht="17.399999999999999" x14ac:dyDescent="0.3">
      <c r="A127" s="5" t="s">
        <v>122</v>
      </c>
      <c r="B127" s="8">
        <f>((B124)+(B125))+(B126)</f>
        <v>39000</v>
      </c>
    </row>
    <row r="128" spans="1:2" ht="18" x14ac:dyDescent="0.35">
      <c r="A128" s="5" t="s">
        <v>123</v>
      </c>
      <c r="B128" s="7">
        <f>52000</f>
        <v>52000</v>
      </c>
    </row>
    <row r="129" spans="1:2" ht="18" x14ac:dyDescent="0.35">
      <c r="A129" s="5" t="s">
        <v>124</v>
      </c>
      <c r="B129" s="7">
        <f>10000</f>
        <v>10000</v>
      </c>
    </row>
    <row r="130" spans="1:2" ht="18" x14ac:dyDescent="0.35">
      <c r="A130" s="5" t="s">
        <v>125</v>
      </c>
      <c r="B130" s="7">
        <f>30000</f>
        <v>30000</v>
      </c>
    </row>
    <row r="131" spans="1:2" ht="18" x14ac:dyDescent="0.35">
      <c r="A131" s="5" t="s">
        <v>126</v>
      </c>
      <c r="B131" s="7">
        <f>42350</f>
        <v>42350</v>
      </c>
    </row>
    <row r="132" spans="1:2" ht="18" x14ac:dyDescent="0.35">
      <c r="A132" s="5" t="s">
        <v>127</v>
      </c>
      <c r="B132" s="6"/>
    </row>
    <row r="133" spans="1:2" ht="18" x14ac:dyDescent="0.35">
      <c r="A133" s="5" t="s">
        <v>128</v>
      </c>
      <c r="B133" s="7">
        <f>90000</f>
        <v>90000</v>
      </c>
    </row>
    <row r="134" spans="1:2" ht="18" x14ac:dyDescent="0.35">
      <c r="A134" s="5" t="s">
        <v>129</v>
      </c>
      <c r="B134" s="7">
        <f>30000</f>
        <v>30000</v>
      </c>
    </row>
    <row r="135" spans="1:2" ht="35.4" x14ac:dyDescent="0.35">
      <c r="A135" s="5" t="s">
        <v>130</v>
      </c>
      <c r="B135" s="7">
        <f>40000</f>
        <v>40000</v>
      </c>
    </row>
    <row r="136" spans="1:2" ht="34.799999999999997" x14ac:dyDescent="0.3">
      <c r="A136" s="5" t="s">
        <v>131</v>
      </c>
      <c r="B136" s="8">
        <f>(((B132)+(B133))+(B134))+(B135)</f>
        <v>160000</v>
      </c>
    </row>
    <row r="137" spans="1:2" ht="18" x14ac:dyDescent="0.35">
      <c r="A137" s="5" t="s">
        <v>132</v>
      </c>
      <c r="B137" s="7">
        <f>100500</f>
        <v>100500</v>
      </c>
    </row>
    <row r="138" spans="1:2" ht="34.799999999999997" x14ac:dyDescent="0.3">
      <c r="A138" s="5" t="s">
        <v>133</v>
      </c>
      <c r="B138" s="8">
        <f>(((((((((((((((((((((((B90)+(B91))+(B97))+(B104))+(B105))+(B106))+(B107))+(B114))+(B115))+(B116))+(B117))+(B118))+(B119))+(B120))+(B121))+(B122))+(B123))+(B127))+(B128))+(B129))+(B130))+(B131))+(B136))+(B137)</f>
        <v>900850</v>
      </c>
    </row>
    <row r="139" spans="1:2" ht="18" x14ac:dyDescent="0.35">
      <c r="A139" s="5" t="s">
        <v>134</v>
      </c>
      <c r="B139" s="6"/>
    </row>
    <row r="140" spans="1:2" ht="18" x14ac:dyDescent="0.35">
      <c r="A140" s="5" t="s">
        <v>135</v>
      </c>
      <c r="B140" s="7">
        <f>65000</f>
        <v>65000</v>
      </c>
    </row>
    <row r="141" spans="1:2" ht="18" x14ac:dyDescent="0.35">
      <c r="A141" s="5" t="s">
        <v>136</v>
      </c>
      <c r="B141" s="7">
        <f>45000</f>
        <v>45000</v>
      </c>
    </row>
    <row r="142" spans="1:2" ht="18" x14ac:dyDescent="0.35">
      <c r="A142" s="5" t="s">
        <v>137</v>
      </c>
      <c r="B142" s="7">
        <f>2500</f>
        <v>2500</v>
      </c>
    </row>
    <row r="143" spans="1:2" ht="18" x14ac:dyDescent="0.35">
      <c r="A143" s="5" t="s">
        <v>138</v>
      </c>
      <c r="B143" s="7">
        <f>600000</f>
        <v>600000</v>
      </c>
    </row>
    <row r="144" spans="1:2" ht="18" x14ac:dyDescent="0.35">
      <c r="A144" s="5" t="s">
        <v>139</v>
      </c>
      <c r="B144" s="7">
        <f>1200000</f>
        <v>1200000</v>
      </c>
    </row>
    <row r="145" spans="1:2" ht="18" x14ac:dyDescent="0.35">
      <c r="A145" s="5" t="s">
        <v>140</v>
      </c>
      <c r="B145" s="7">
        <f>1500000</f>
        <v>1500000</v>
      </c>
    </row>
    <row r="146" spans="1:2" ht="17.399999999999999" x14ac:dyDescent="0.3">
      <c r="A146" s="5" t="s">
        <v>141</v>
      </c>
      <c r="B146" s="8">
        <f>((((((B139)+(B140))+(B141))+(B142))+(B143))+(B144))+(B145)</f>
        <v>3412500</v>
      </c>
    </row>
    <row r="147" spans="1:2" ht="18" x14ac:dyDescent="0.35">
      <c r="A147" s="5" t="s">
        <v>142</v>
      </c>
      <c r="B147" s="6"/>
    </row>
    <row r="148" spans="1:2" ht="18" x14ac:dyDescent="0.35">
      <c r="A148" s="5" t="s">
        <v>143</v>
      </c>
      <c r="B148" s="6"/>
    </row>
    <row r="149" spans="1:2" ht="35.4" x14ac:dyDescent="0.35">
      <c r="A149" s="5" t="s">
        <v>144</v>
      </c>
      <c r="B149" s="7">
        <f>400000</f>
        <v>400000</v>
      </c>
    </row>
    <row r="150" spans="1:2" ht="17.399999999999999" x14ac:dyDescent="0.3">
      <c r="A150" s="5" t="s">
        <v>145</v>
      </c>
      <c r="B150" s="8">
        <f>(B148)+(B149)</f>
        <v>400000</v>
      </c>
    </row>
    <row r="151" spans="1:2" ht="18" x14ac:dyDescent="0.35">
      <c r="A151" s="5" t="s">
        <v>146</v>
      </c>
      <c r="B151" s="6"/>
    </row>
    <row r="152" spans="1:2" ht="35.4" x14ac:dyDescent="0.35">
      <c r="A152" s="5" t="s">
        <v>147</v>
      </c>
      <c r="B152" s="7">
        <f>175000</f>
        <v>175000</v>
      </c>
    </row>
    <row r="153" spans="1:2" ht="34.799999999999997" x14ac:dyDescent="0.3">
      <c r="A153" s="5" t="s">
        <v>148</v>
      </c>
      <c r="B153" s="8">
        <f>(B151)+(B152)</f>
        <v>175000</v>
      </c>
    </row>
    <row r="154" spans="1:2" ht="18" x14ac:dyDescent="0.35">
      <c r="A154" s="5" t="s">
        <v>149</v>
      </c>
      <c r="B154" s="6"/>
    </row>
    <row r="155" spans="1:2" ht="35.4" x14ac:dyDescent="0.35">
      <c r="A155" s="5" t="s">
        <v>150</v>
      </c>
      <c r="B155" s="7">
        <f>40000</f>
        <v>40000</v>
      </c>
    </row>
    <row r="156" spans="1:2" ht="34.799999999999997" x14ac:dyDescent="0.3">
      <c r="A156" s="5" t="s">
        <v>151</v>
      </c>
      <c r="B156" s="8">
        <f>(B154)+(B155)</f>
        <v>40000</v>
      </c>
    </row>
    <row r="157" spans="1:2" ht="18" x14ac:dyDescent="0.35">
      <c r="A157" s="5" t="s">
        <v>152</v>
      </c>
      <c r="B157" s="7">
        <f>15000</f>
        <v>15000</v>
      </c>
    </row>
    <row r="158" spans="1:2" ht="35.4" x14ac:dyDescent="0.35">
      <c r="A158" s="5" t="s">
        <v>153</v>
      </c>
      <c r="B158" s="7">
        <f>15000</f>
        <v>15000</v>
      </c>
    </row>
    <row r="159" spans="1:2" ht="18" x14ac:dyDescent="0.35">
      <c r="A159" s="5" t="s">
        <v>154</v>
      </c>
      <c r="B159" s="7">
        <f>4200</f>
        <v>4200</v>
      </c>
    </row>
    <row r="160" spans="1:2" ht="18" x14ac:dyDescent="0.35">
      <c r="A160" s="5" t="s">
        <v>155</v>
      </c>
      <c r="B160" s="7">
        <f>4800</f>
        <v>4800</v>
      </c>
    </row>
    <row r="161" spans="1:2" ht="18" x14ac:dyDescent="0.35">
      <c r="A161" s="5" t="s">
        <v>156</v>
      </c>
      <c r="B161" s="7">
        <f>6000</f>
        <v>6000</v>
      </c>
    </row>
    <row r="162" spans="1:2" ht="18" x14ac:dyDescent="0.35">
      <c r="A162" s="5" t="s">
        <v>157</v>
      </c>
      <c r="B162" s="7">
        <f>80000</f>
        <v>80000</v>
      </c>
    </row>
    <row r="163" spans="1:2" ht="18" x14ac:dyDescent="0.35">
      <c r="A163" s="5" t="s">
        <v>158</v>
      </c>
      <c r="B163" s="7">
        <f>8000</f>
        <v>8000</v>
      </c>
    </row>
    <row r="164" spans="1:2" ht="18" x14ac:dyDescent="0.35">
      <c r="A164" s="5" t="s">
        <v>159</v>
      </c>
      <c r="B164" s="7">
        <f>2000</f>
        <v>2000</v>
      </c>
    </row>
    <row r="165" spans="1:2" ht="17.399999999999999" x14ac:dyDescent="0.3">
      <c r="A165" s="5" t="s">
        <v>160</v>
      </c>
      <c r="B165" s="8">
        <f>(((((((((((B147)+(B150))+(B153))+(B156))+(B157))+(B158))+(B159))+(B160))+(B161))+(B162))+(B163))+(B164)</f>
        <v>750000</v>
      </c>
    </row>
    <row r="166" spans="1:2" ht="35.4" x14ac:dyDescent="0.35">
      <c r="A166" s="5" t="s">
        <v>161</v>
      </c>
      <c r="B166" s="7">
        <f>50000</f>
        <v>50000</v>
      </c>
    </row>
    <row r="167" spans="1:2" ht="18" x14ac:dyDescent="0.35">
      <c r="A167" s="5" t="s">
        <v>162</v>
      </c>
      <c r="B167" s="6"/>
    </row>
    <row r="168" spans="1:2" ht="18" x14ac:dyDescent="0.35">
      <c r="A168" s="5" t="s">
        <v>163</v>
      </c>
      <c r="B168" s="7">
        <f>250000</f>
        <v>250000</v>
      </c>
    </row>
    <row r="169" spans="1:2" ht="18" x14ac:dyDescent="0.35">
      <c r="A169" s="5" t="s">
        <v>164</v>
      </c>
      <c r="B169" s="7">
        <f>24000</f>
        <v>24000</v>
      </c>
    </row>
    <row r="170" spans="1:2" ht="18" x14ac:dyDescent="0.35">
      <c r="A170" s="5" t="s">
        <v>165</v>
      </c>
      <c r="B170" s="7">
        <f>15000</f>
        <v>15000</v>
      </c>
    </row>
    <row r="171" spans="1:2" ht="18" x14ac:dyDescent="0.35">
      <c r="A171" s="5" t="s">
        <v>166</v>
      </c>
      <c r="B171" s="7">
        <f>10000</f>
        <v>10000</v>
      </c>
    </row>
    <row r="172" spans="1:2" ht="18" x14ac:dyDescent="0.35">
      <c r="A172" s="5" t="s">
        <v>167</v>
      </c>
      <c r="B172" s="7">
        <f>30000</f>
        <v>30000</v>
      </c>
    </row>
    <row r="173" spans="1:2" ht="18" x14ac:dyDescent="0.35">
      <c r="A173" s="5" t="s">
        <v>168</v>
      </c>
      <c r="B173" s="7">
        <f>30000</f>
        <v>30000</v>
      </c>
    </row>
    <row r="174" spans="1:2" ht="18" x14ac:dyDescent="0.35">
      <c r="A174" s="5" t="s">
        <v>169</v>
      </c>
      <c r="B174" s="7">
        <f>1000</f>
        <v>1000</v>
      </c>
    </row>
    <row r="175" spans="1:2" ht="34.799999999999997" x14ac:dyDescent="0.3">
      <c r="A175" s="5" t="s">
        <v>170</v>
      </c>
      <c r="B175" s="8">
        <f>(((((((B167)+(B168))+(B169))+(B170))+(B171))+(B172))+(B173))+(B174)</f>
        <v>360000</v>
      </c>
    </row>
    <row r="176" spans="1:2" ht="18" x14ac:dyDescent="0.35">
      <c r="A176" s="5" t="s">
        <v>171</v>
      </c>
      <c r="B176" s="6"/>
    </row>
    <row r="177" spans="1:2" ht="18" x14ac:dyDescent="0.35">
      <c r="A177" s="5" t="s">
        <v>172</v>
      </c>
      <c r="B177" s="7">
        <f>20000</f>
        <v>20000</v>
      </c>
    </row>
    <row r="178" spans="1:2" ht="18" x14ac:dyDescent="0.35">
      <c r="A178" s="5" t="s">
        <v>173</v>
      </c>
      <c r="B178" s="7">
        <f>2000</f>
        <v>2000</v>
      </c>
    </row>
    <row r="179" spans="1:2" ht="18" x14ac:dyDescent="0.35">
      <c r="A179" s="5" t="s">
        <v>174</v>
      </c>
      <c r="B179" s="7">
        <f>3000</f>
        <v>3000</v>
      </c>
    </row>
    <row r="180" spans="1:2" ht="17.399999999999999" x14ac:dyDescent="0.3">
      <c r="A180" s="5" t="s">
        <v>175</v>
      </c>
      <c r="B180" s="8">
        <f>(((B176)+(B177))+(B178))+(B179)</f>
        <v>25000</v>
      </c>
    </row>
    <row r="181" spans="1:2" ht="17.399999999999999" x14ac:dyDescent="0.3">
      <c r="A181" s="5" t="s">
        <v>176</v>
      </c>
      <c r="B181" s="8">
        <f>((((((((B47)+(B69))+(B89))+(B138))+(B146))+(B165))+(B166))+(B175))+(B180)</f>
        <v>8070500</v>
      </c>
    </row>
    <row r="182" spans="1:2" ht="17.399999999999999" x14ac:dyDescent="0.3">
      <c r="A182" s="5" t="s">
        <v>177</v>
      </c>
      <c r="B182" s="8">
        <f>(B37)-(B181)</f>
        <v>0</v>
      </c>
    </row>
    <row r="183" spans="1:2" ht="17.399999999999999" x14ac:dyDescent="0.3">
      <c r="A183" s="5" t="s">
        <v>178</v>
      </c>
      <c r="B183" s="9">
        <f>(B182)+(0)</f>
        <v>0</v>
      </c>
    </row>
    <row r="184" spans="1:2" x14ac:dyDescent="0.3">
      <c r="A184" s="1"/>
      <c r="B184" s="2"/>
    </row>
    <row r="187" spans="1:2" x14ac:dyDescent="0.3">
      <c r="A187" s="15" t="s">
        <v>179</v>
      </c>
      <c r="B187" s="16"/>
    </row>
  </sheetData>
  <mergeCells count="4">
    <mergeCell ref="A187:B187"/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1FF43-5B9D-4E0B-9A87-3BCD29831F1C}">
  <dimension ref="A1:B21"/>
  <sheetViews>
    <sheetView tabSelected="1" workbookViewId="0">
      <selection activeCell="F11" sqref="F11"/>
    </sheetView>
  </sheetViews>
  <sheetFormatPr defaultRowHeight="14.4" x14ac:dyDescent="0.3"/>
  <cols>
    <col min="1" max="1" width="43" bestFit="1" customWidth="1"/>
    <col min="2" max="2" width="18.88671875" bestFit="1" customWidth="1"/>
  </cols>
  <sheetData>
    <row r="1" spans="1:2" ht="18" x14ac:dyDescent="0.35">
      <c r="A1" s="10" t="s">
        <v>183</v>
      </c>
      <c r="B1" s="11" t="s">
        <v>184</v>
      </c>
    </row>
    <row r="2" spans="1:2" ht="18" x14ac:dyDescent="0.35">
      <c r="A2" s="12" t="s">
        <v>1</v>
      </c>
      <c r="B2" s="10"/>
    </row>
    <row r="3" spans="1:2" ht="18" x14ac:dyDescent="0.35">
      <c r="A3" s="10" t="s">
        <v>2</v>
      </c>
      <c r="B3" s="13">
        <v>296200</v>
      </c>
    </row>
    <row r="4" spans="1:2" ht="18" x14ac:dyDescent="0.35">
      <c r="A4" s="10" t="s">
        <v>3</v>
      </c>
      <c r="B4" s="13">
        <v>1580000</v>
      </c>
    </row>
    <row r="5" spans="1:2" ht="18" x14ac:dyDescent="0.35">
      <c r="A5" s="10" t="s">
        <v>4</v>
      </c>
      <c r="B5" s="13">
        <v>180000</v>
      </c>
    </row>
    <row r="6" spans="1:2" ht="18" x14ac:dyDescent="0.35">
      <c r="A6" s="10" t="s">
        <v>5</v>
      </c>
      <c r="B6" s="13">
        <v>791000</v>
      </c>
    </row>
    <row r="7" spans="1:2" ht="18" x14ac:dyDescent="0.35">
      <c r="A7" s="10" t="s">
        <v>12</v>
      </c>
      <c r="B7" s="13">
        <v>370800</v>
      </c>
    </row>
    <row r="8" spans="1:2" ht="18" x14ac:dyDescent="0.35">
      <c r="A8" s="10" t="s">
        <v>19</v>
      </c>
      <c r="B8" s="13">
        <v>1440000</v>
      </c>
    </row>
    <row r="9" spans="1:2" ht="18" x14ac:dyDescent="0.35">
      <c r="A9" s="10" t="s">
        <v>23</v>
      </c>
      <c r="B9" s="13">
        <v>3412500</v>
      </c>
    </row>
    <row r="10" spans="1:2" ht="17.399999999999999" x14ac:dyDescent="0.3">
      <c r="A10" s="12" t="s">
        <v>31</v>
      </c>
      <c r="B10" s="14">
        <f>SUM(B3:B9)</f>
        <v>8070500</v>
      </c>
    </row>
    <row r="11" spans="1:2" ht="18" x14ac:dyDescent="0.35">
      <c r="A11" s="12" t="s">
        <v>33</v>
      </c>
      <c r="B11" s="10"/>
    </row>
    <row r="12" spans="1:2" ht="18" x14ac:dyDescent="0.35">
      <c r="A12" s="10" t="s">
        <v>34</v>
      </c>
      <c r="B12" s="13">
        <v>260100</v>
      </c>
    </row>
    <row r="13" spans="1:2" ht="18" x14ac:dyDescent="0.35">
      <c r="A13" s="10" t="s">
        <v>43</v>
      </c>
      <c r="B13" s="13">
        <v>2280600</v>
      </c>
    </row>
    <row r="14" spans="1:2" ht="18" x14ac:dyDescent="0.35">
      <c r="A14" s="10" t="s">
        <v>65</v>
      </c>
      <c r="B14" s="13">
        <v>31450</v>
      </c>
    </row>
    <row r="15" spans="1:2" ht="18" x14ac:dyDescent="0.35">
      <c r="A15" s="10" t="s">
        <v>85</v>
      </c>
      <c r="B15" s="13">
        <v>900850</v>
      </c>
    </row>
    <row r="16" spans="1:2" ht="18" x14ac:dyDescent="0.35">
      <c r="A16" s="10" t="s">
        <v>134</v>
      </c>
      <c r="B16" s="13">
        <v>3412500</v>
      </c>
    </row>
    <row r="17" spans="1:2" ht="18" x14ac:dyDescent="0.35">
      <c r="A17" s="10" t="s">
        <v>142</v>
      </c>
      <c r="B17" s="13">
        <v>750000</v>
      </c>
    </row>
    <row r="18" spans="1:2" ht="18" x14ac:dyDescent="0.35">
      <c r="A18" s="10" t="s">
        <v>161</v>
      </c>
      <c r="B18" s="13">
        <v>50000</v>
      </c>
    </row>
    <row r="19" spans="1:2" ht="18" x14ac:dyDescent="0.35">
      <c r="A19" s="10" t="s">
        <v>162</v>
      </c>
      <c r="B19" s="13">
        <v>360000</v>
      </c>
    </row>
    <row r="20" spans="1:2" ht="18" x14ac:dyDescent="0.35">
      <c r="A20" s="10" t="s">
        <v>171</v>
      </c>
      <c r="B20" s="13">
        <v>25000</v>
      </c>
    </row>
    <row r="21" spans="1:2" ht="17.399999999999999" x14ac:dyDescent="0.3">
      <c r="A21" s="12" t="s">
        <v>176</v>
      </c>
      <c r="B21" s="14">
        <f>SUM(B12:B20)</f>
        <v>8070500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98100D53CAEF4B8539487024EC0A74" ma:contentTypeVersion="16" ma:contentTypeDescription="Create a new document." ma:contentTypeScope="" ma:versionID="5b9f0de3e3c8921001264a9e3be75d6d">
  <xsd:schema xmlns:xsd="http://www.w3.org/2001/XMLSchema" xmlns:xs="http://www.w3.org/2001/XMLSchema" xmlns:p="http://schemas.microsoft.com/office/2006/metadata/properties" xmlns:ns2="5cdebe55-aa95-48b3-9e5a-8cc6995a0210" xmlns:ns3="3ba1c025-cba7-4117-a9cd-a9fa0390fa12" targetNamespace="http://schemas.microsoft.com/office/2006/metadata/properties" ma:root="true" ma:fieldsID="3ad0fd192f47f04be9a9a37b3fed5b89" ns2:_="" ns3:_="">
    <xsd:import namespace="5cdebe55-aa95-48b3-9e5a-8cc6995a0210"/>
    <xsd:import namespace="3ba1c025-cba7-4117-a9cd-a9fa0390fa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debe55-aa95-48b3-9e5a-8cc6995a02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ea4a511-55b0-48dd-a76b-01ce8fb463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1c025-cba7-4117-a9cd-a9fa0390fa1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ab47f45-b095-4793-9906-9cc4b76827e4}" ma:internalName="TaxCatchAll" ma:showField="CatchAllData" ma:web="3ba1c025-cba7-4117-a9cd-a9fa0390fa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cdebe55-aa95-48b3-9e5a-8cc6995a0210">
      <Terms xmlns="http://schemas.microsoft.com/office/infopath/2007/PartnerControls"/>
    </lcf76f155ced4ddcb4097134ff3c332f>
    <TaxCatchAll xmlns="3ba1c025-cba7-4117-a9cd-a9fa0390fa12" xsi:nil="true"/>
  </documentManagement>
</p:properties>
</file>

<file path=customXml/itemProps1.xml><?xml version="1.0" encoding="utf-8"?>
<ds:datastoreItem xmlns:ds="http://schemas.openxmlformats.org/officeDocument/2006/customXml" ds:itemID="{A5239A43-8C28-4341-B7DC-0CA23CCF6B6E}"/>
</file>

<file path=customXml/itemProps2.xml><?xml version="1.0" encoding="utf-8"?>
<ds:datastoreItem xmlns:ds="http://schemas.openxmlformats.org/officeDocument/2006/customXml" ds:itemID="{84C70220-0C55-43FA-94D5-F2C0865751C9}"/>
</file>

<file path=customXml/itemProps3.xml><?xml version="1.0" encoding="utf-8"?>
<ds:datastoreItem xmlns:ds="http://schemas.openxmlformats.org/officeDocument/2006/customXml" ds:itemID="{CDC96694-BC81-432B-A1E1-8E6E61451C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Overview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Kathi McClure</cp:lastModifiedBy>
  <dcterms:created xsi:type="dcterms:W3CDTF">2022-07-12T15:07:16Z</dcterms:created>
  <dcterms:modified xsi:type="dcterms:W3CDTF">2022-07-13T21:23:04Z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0x0101007798100D53CAEF4B8539487024EC0A74</vt:lpwstr>
  </property>
</Properties>
</file>