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s\2023 Operations &amp; Finance\Board Financials\"/>
    </mc:Choice>
  </mc:AlternateContent>
  <bookViews>
    <workbookView xWindow="0" yWindow="0" windowWidth="23040" windowHeight="10068"/>
  </bookViews>
  <sheets>
    <sheet name="Sheet1" sheetId="1" r:id="rId1"/>
    <sheet name="Program" sheetId="3" r:id="rId2"/>
    <sheet name="Sheet2" sheetId="2" r:id="rId3"/>
  </sheets>
  <externalReferences>
    <externalReference r:id="rId4"/>
  </externalReferences>
  <definedNames>
    <definedName name="_xlnm.Print_Area" localSheetId="1">Program!$A$1:$L$104</definedName>
    <definedName name="_xlnm.Print_Area" localSheetId="0">Sheet1!$A$1:$P$97</definedName>
  </definedNames>
  <calcPr calcId="152511"/>
</workbook>
</file>

<file path=xl/calcChain.xml><?xml version="1.0" encoding="utf-8"?>
<calcChain xmlns="http://schemas.openxmlformats.org/spreadsheetml/2006/main">
  <c r="M72" i="1" l="1"/>
  <c r="O86" i="1" l="1"/>
  <c r="O90" i="1"/>
  <c r="O88" i="1"/>
  <c r="O87" i="1"/>
  <c r="O85" i="1"/>
  <c r="O84" i="1"/>
  <c r="O83" i="1"/>
  <c r="O82" i="1"/>
  <c r="O81" i="1"/>
  <c r="O80" i="1"/>
  <c r="O79" i="1"/>
  <c r="O93" i="1"/>
  <c r="M93" i="1" l="1"/>
  <c r="M83" i="1"/>
  <c r="M82" i="1"/>
  <c r="M80" i="1"/>
  <c r="L70" i="3" l="1"/>
  <c r="K70" i="3"/>
  <c r="J70" i="3"/>
  <c r="J73" i="3" s="1"/>
  <c r="H70" i="3"/>
  <c r="J18" i="3"/>
  <c r="G18" i="3"/>
  <c r="K37" i="3"/>
  <c r="J37" i="3"/>
  <c r="H37" i="3"/>
  <c r="G37" i="3"/>
  <c r="K48" i="3"/>
  <c r="J48" i="3"/>
  <c r="K58" i="3"/>
  <c r="J58" i="3"/>
  <c r="G58" i="3"/>
  <c r="H103" i="3"/>
  <c r="J101" i="3"/>
  <c r="I101" i="3"/>
  <c r="G101" i="3"/>
  <c r="L100" i="3"/>
  <c r="K100" i="3"/>
  <c r="J99" i="3"/>
  <c r="L98" i="3"/>
  <c r="K98" i="3"/>
  <c r="J98" i="3"/>
  <c r="I98" i="3"/>
  <c r="J97" i="3"/>
  <c r="I97" i="3"/>
  <c r="J96" i="3"/>
  <c r="L96" i="3" s="1"/>
  <c r="L95" i="3"/>
  <c r="K95" i="3"/>
  <c r="J95" i="3"/>
  <c r="I95" i="3"/>
  <c r="L94" i="3"/>
  <c r="K94" i="3"/>
  <c r="J94" i="3"/>
  <c r="I94" i="3"/>
  <c r="L93" i="3"/>
  <c r="K93" i="3"/>
  <c r="J93" i="3"/>
  <c r="I93" i="3"/>
  <c r="L92" i="3"/>
  <c r="K92" i="3"/>
  <c r="J92" i="3"/>
  <c r="I92" i="3"/>
  <c r="L91" i="3"/>
  <c r="K91" i="3"/>
  <c r="J91" i="3"/>
  <c r="I91" i="3"/>
  <c r="G91" i="3"/>
  <c r="L90" i="3"/>
  <c r="K90" i="3"/>
  <c r="J90" i="3"/>
  <c r="I90" i="3"/>
  <c r="G90" i="3"/>
  <c r="G93" i="3" s="1"/>
  <c r="L89" i="3"/>
  <c r="K89" i="3"/>
  <c r="J89" i="3"/>
  <c r="I89" i="3"/>
  <c r="L88" i="3"/>
  <c r="K88" i="3"/>
  <c r="J88" i="3"/>
  <c r="I88" i="3"/>
  <c r="G88" i="3"/>
  <c r="L87" i="3"/>
  <c r="K87" i="3"/>
  <c r="J87" i="3"/>
  <c r="I87" i="3"/>
  <c r="H84" i="3"/>
  <c r="J83" i="3"/>
  <c r="J82" i="3"/>
  <c r="J81" i="3"/>
  <c r="J80" i="3"/>
  <c r="G80" i="3"/>
  <c r="G84" i="3" s="1"/>
  <c r="J79" i="3"/>
  <c r="J78" i="3"/>
  <c r="J77" i="3"/>
  <c r="I77" i="3"/>
  <c r="I67" i="3"/>
  <c r="G67" i="3"/>
  <c r="G47" i="3"/>
  <c r="G48" i="3" s="1"/>
  <c r="I66" i="3"/>
  <c r="I70" i="3" s="1"/>
  <c r="G66" i="3"/>
  <c r="G70" i="3" s="1"/>
  <c r="G73" i="3" s="1"/>
  <c r="L46" i="3"/>
  <c r="L48" i="3" s="1"/>
  <c r="I21" i="3"/>
  <c r="I79" i="3" s="1"/>
  <c r="L13" i="3"/>
  <c r="L12" i="3"/>
  <c r="K12" i="3"/>
  <c r="K18" i="3" s="1"/>
  <c r="H12" i="3"/>
  <c r="I10" i="3"/>
  <c r="I18" i="3" s="1"/>
  <c r="L9" i="3"/>
  <c r="L8" i="3"/>
  <c r="H8" i="3"/>
  <c r="H18" i="3" s="1"/>
  <c r="I40" i="3"/>
  <c r="I48" i="3" s="1"/>
  <c r="H40" i="3"/>
  <c r="H48" i="3" s="1"/>
  <c r="H73" i="3" s="1"/>
  <c r="I55" i="3"/>
  <c r="I54" i="3"/>
  <c r="H54" i="3"/>
  <c r="H58" i="3" s="1"/>
  <c r="L51" i="3"/>
  <c r="L58" i="3" s="1"/>
  <c r="L15" i="3"/>
  <c r="L30" i="3"/>
  <c r="L37" i="3" s="1"/>
  <c r="L6" i="3"/>
  <c r="L4" i="3"/>
  <c r="H71" i="3" l="1"/>
  <c r="H74" i="3"/>
  <c r="I71" i="3"/>
  <c r="K73" i="3"/>
  <c r="L73" i="3"/>
  <c r="L74" i="3" s="1"/>
  <c r="H19" i="3"/>
  <c r="J71" i="3"/>
  <c r="L18" i="3"/>
  <c r="L19" i="3" s="1"/>
  <c r="K71" i="3"/>
  <c r="L71" i="3"/>
  <c r="L38" i="3"/>
  <c r="I19" i="3"/>
  <c r="J19" i="3"/>
  <c r="K19" i="3"/>
  <c r="H59" i="3"/>
  <c r="L49" i="3"/>
  <c r="H38" i="3"/>
  <c r="H49" i="3"/>
  <c r="I49" i="3"/>
  <c r="K49" i="3"/>
  <c r="J49" i="3"/>
  <c r="I80" i="3"/>
  <c r="I37" i="3"/>
  <c r="I38" i="3" s="1"/>
  <c r="I58" i="3"/>
  <c r="I59" i="3" s="1"/>
  <c r="I78" i="3"/>
  <c r="G103" i="3"/>
  <c r="J84" i="3"/>
  <c r="K101" i="3"/>
  <c r="L101" i="3"/>
  <c r="P38" i="1"/>
  <c r="P29" i="1"/>
  <c r="I73" i="3" l="1"/>
  <c r="K38" i="3"/>
  <c r="J38" i="3"/>
  <c r="P28" i="1"/>
  <c r="P25" i="1" l="1"/>
  <c r="P24" i="1"/>
  <c r="O28" i="1"/>
  <c r="P12" i="1" l="1"/>
  <c r="P4" i="1"/>
  <c r="P6" i="1"/>
  <c r="P9" i="1"/>
  <c r="P11" i="1"/>
  <c r="P64" i="1" l="1"/>
  <c r="P55" i="1"/>
  <c r="P39" i="1"/>
  <c r="P22" i="1"/>
  <c r="P65" i="1" l="1"/>
  <c r="N75" i="1"/>
  <c r="N74" i="1"/>
  <c r="N73" i="1"/>
  <c r="N72" i="1"/>
  <c r="N71" i="1"/>
  <c r="N70" i="1"/>
  <c r="N69" i="1"/>
  <c r="N93" i="1" l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64" i="1"/>
  <c r="N55" i="1"/>
  <c r="P56" i="1" s="1"/>
  <c r="N39" i="1"/>
  <c r="P40" i="1" s="1"/>
  <c r="N22" i="1"/>
  <c r="P23" i="1" s="1"/>
  <c r="N65" i="1" l="1"/>
  <c r="P66" i="1" l="1"/>
  <c r="N76" i="1" l="1"/>
  <c r="M61" i="1" l="1"/>
  <c r="M57" i="1"/>
  <c r="M17" i="1" l="1"/>
  <c r="M16" i="1"/>
  <c r="L16" i="1"/>
  <c r="I16" i="1"/>
  <c r="O64" i="1"/>
  <c r="O55" i="1"/>
  <c r="O22" i="1"/>
  <c r="O39" i="1" l="1"/>
  <c r="L24" i="1"/>
  <c r="O65" i="1" l="1"/>
  <c r="L64" i="1"/>
  <c r="L55" i="1"/>
  <c r="L28" i="1"/>
  <c r="L39" i="1" s="1"/>
  <c r="L21" i="1"/>
  <c r="L22" i="1" s="1"/>
  <c r="P92" i="1" l="1"/>
  <c r="P89" i="1"/>
  <c r="P87" i="1"/>
  <c r="P93" i="1"/>
  <c r="P83" i="1"/>
  <c r="P88" i="1"/>
  <c r="P85" i="1"/>
  <c r="P81" i="1"/>
  <c r="P86" i="1"/>
  <c r="P80" i="1"/>
  <c r="P82" i="1"/>
  <c r="P79" i="1"/>
  <c r="P90" i="1"/>
  <c r="P84" i="1"/>
  <c r="L65" i="1"/>
  <c r="O94" i="1" l="1"/>
  <c r="O91" i="1"/>
  <c r="L95" i="1" l="1"/>
  <c r="K93" i="1"/>
  <c r="M30" i="1"/>
  <c r="K83" i="1" l="1"/>
  <c r="K82" i="1"/>
  <c r="K80" i="1"/>
  <c r="K72" i="1"/>
  <c r="J72" i="1"/>
  <c r="J93" i="1"/>
  <c r="J80" i="1"/>
  <c r="J83" i="1"/>
  <c r="J82" i="1"/>
  <c r="J85" i="1" s="1"/>
  <c r="J57" i="1"/>
  <c r="J61" i="1"/>
  <c r="J60" i="1"/>
  <c r="L76" i="1" l="1"/>
  <c r="K85" i="1"/>
  <c r="E11" i="2"/>
  <c r="D11" i="2"/>
  <c r="C11" i="2"/>
  <c r="E10" i="2"/>
  <c r="D10" i="2"/>
  <c r="C10" i="2"/>
  <c r="E9" i="2"/>
  <c r="D9" i="2"/>
  <c r="C9" i="2"/>
  <c r="E8" i="2"/>
  <c r="D8" i="2"/>
  <c r="C8" i="2"/>
  <c r="E7" i="2"/>
  <c r="E12" i="2" s="1"/>
  <c r="D7" i="2"/>
  <c r="D12" i="2" s="1"/>
  <c r="C7" i="2"/>
  <c r="C12" i="2" s="1"/>
  <c r="K95" i="1"/>
  <c r="M64" i="1"/>
  <c r="J64" i="1"/>
  <c r="H64" i="1"/>
  <c r="K61" i="1"/>
  <c r="I61" i="1"/>
  <c r="I60" i="1"/>
  <c r="G60" i="1"/>
  <c r="G64" i="1" s="1"/>
  <c r="K59" i="1"/>
  <c r="K57" i="1"/>
  <c r="I57" i="1"/>
  <c r="K55" i="1"/>
  <c r="J55" i="1"/>
  <c r="L56" i="1" s="1"/>
  <c r="H55" i="1"/>
  <c r="G55" i="1"/>
  <c r="M55" i="1"/>
  <c r="I55" i="1"/>
  <c r="K39" i="1"/>
  <c r="G39" i="1"/>
  <c r="J39" i="1"/>
  <c r="L40" i="1" s="1"/>
  <c r="I28" i="1"/>
  <c r="I39" i="1" s="1"/>
  <c r="H28" i="1"/>
  <c r="H24" i="1"/>
  <c r="K22" i="1"/>
  <c r="J22" i="1"/>
  <c r="L23" i="1" s="1"/>
  <c r="I22" i="1"/>
  <c r="H22" i="1"/>
  <c r="G22" i="1"/>
  <c r="M21" i="1"/>
  <c r="M22" i="1" l="1"/>
  <c r="M23" i="1" s="1"/>
  <c r="O56" i="1"/>
  <c r="N56" i="1"/>
  <c r="H39" i="1"/>
  <c r="K64" i="1"/>
  <c r="K65" i="1" s="1"/>
  <c r="N94" i="1" s="1"/>
  <c r="N95" i="1" s="1"/>
  <c r="K56" i="1"/>
  <c r="I64" i="1"/>
  <c r="M56" i="1"/>
  <c r="K23" i="1"/>
  <c r="M39" i="1"/>
  <c r="N40" i="1" s="1"/>
  <c r="K40" i="1"/>
  <c r="J65" i="1"/>
  <c r="L66" i="1" s="1"/>
  <c r="O23" i="1" l="1"/>
  <c r="N23" i="1"/>
  <c r="M40" i="1"/>
  <c r="O40" i="1"/>
  <c r="M65" i="1"/>
  <c r="N66" i="1" s="1"/>
  <c r="K66" i="1"/>
  <c r="M66" i="1" l="1"/>
  <c r="O66" i="1"/>
  <c r="M94" i="1"/>
  <c r="P94" i="1" s="1"/>
  <c r="O95" i="1"/>
  <c r="M91" i="1"/>
  <c r="P91" i="1" s="1"/>
  <c r="P95" i="1" s="1"/>
  <c r="J95" i="1"/>
  <c r="M95" i="1" l="1"/>
  <c r="J76" i="1"/>
  <c r="K76" i="1" l="1"/>
  <c r="M76" i="1" l="1"/>
  <c r="Q72" i="1" l="1"/>
  <c r="Q69" i="1"/>
  <c r="Q70" i="1"/>
  <c r="Q71" i="1"/>
  <c r="Q75" i="1"/>
  <c r="Q73" i="1"/>
  <c r="Q74" i="1"/>
  <c r="O69" i="1" l="1"/>
  <c r="P69" i="1"/>
  <c r="O74" i="1"/>
  <c r="P74" i="1"/>
  <c r="O73" i="1"/>
  <c r="P73" i="1"/>
  <c r="O75" i="1"/>
  <c r="P75" i="1"/>
  <c r="O71" i="1"/>
  <c r="P71" i="1"/>
  <c r="O70" i="1"/>
  <c r="O76" i="1" s="1"/>
  <c r="P70" i="1"/>
  <c r="O72" i="1"/>
  <c r="P72" i="1"/>
  <c r="P76" i="1" l="1"/>
  <c r="J59" i="3"/>
  <c r="K59" i="3" l="1"/>
  <c r="L59" i="3" l="1"/>
  <c r="I99" i="3" l="1"/>
  <c r="K74" i="3" l="1"/>
  <c r="L99" i="3"/>
  <c r="J74" i="3"/>
  <c r="K99" i="3"/>
  <c r="I96" i="3"/>
  <c r="I74" i="3"/>
  <c r="I102" i="3"/>
  <c r="L102" i="3" s="1"/>
  <c r="L103" i="3" s="1"/>
  <c r="K102" i="3"/>
  <c r="J102" i="3"/>
  <c r="J103" i="3" s="1"/>
  <c r="L81" i="3" l="1"/>
  <c r="L82" i="3"/>
  <c r="L79" i="3"/>
  <c r="L83" i="3"/>
  <c r="L77" i="3"/>
  <c r="L80" i="3"/>
  <c r="L78" i="3"/>
  <c r="I103" i="3"/>
  <c r="K96" i="3"/>
  <c r="K103" i="3" s="1"/>
  <c r="I83" i="3" l="1"/>
  <c r="I82" i="3"/>
  <c r="I81" i="3" s="1"/>
  <c r="L84" i="3"/>
  <c r="I84" i="3" l="1"/>
  <c r="M81" i="3" s="1"/>
  <c r="K81" i="3" s="1"/>
  <c r="M80" i="3" l="1"/>
  <c r="K80" i="3" s="1"/>
  <c r="M79" i="3"/>
  <c r="K79" i="3" s="1"/>
  <c r="M78" i="3"/>
  <c r="K78" i="3" s="1"/>
  <c r="M77" i="3"/>
  <c r="K77" i="3" s="1"/>
  <c r="M83" i="3"/>
  <c r="K83" i="3" s="1"/>
  <c r="M82" i="3"/>
  <c r="K82" i="3" s="1"/>
  <c r="K84" i="3" l="1"/>
</calcChain>
</file>

<file path=xl/sharedStrings.xml><?xml version="1.0" encoding="utf-8"?>
<sst xmlns="http://schemas.openxmlformats.org/spreadsheetml/2006/main" count="288" uniqueCount="150">
  <si>
    <t>Budget</t>
  </si>
  <si>
    <t>Income</t>
  </si>
  <si>
    <t>Fed &amp; State Grants</t>
  </si>
  <si>
    <t xml:space="preserve"> </t>
  </si>
  <si>
    <t>TOR</t>
  </si>
  <si>
    <t>RSS</t>
  </si>
  <si>
    <t>RCA/RMA</t>
  </si>
  <si>
    <t>SIG</t>
  </si>
  <si>
    <t>Subtotal</t>
  </si>
  <si>
    <t>ECDC</t>
  </si>
  <si>
    <t>Immigration</t>
  </si>
  <si>
    <t>Total</t>
  </si>
  <si>
    <t>Registration &amp; books</t>
  </si>
  <si>
    <t>FY2015</t>
  </si>
  <si>
    <t>ICM</t>
  </si>
  <si>
    <t>PC-ICM</t>
  </si>
  <si>
    <t>% chg</t>
  </si>
  <si>
    <t>FY2016</t>
  </si>
  <si>
    <t>NAZA</t>
  </si>
  <si>
    <t>ELD</t>
  </si>
  <si>
    <t>Fed:</t>
  </si>
  <si>
    <t>State/City:</t>
  </si>
  <si>
    <t>AIG</t>
  </si>
  <si>
    <t>Actuals</t>
  </si>
  <si>
    <t>Pv. Foundations/Corps</t>
  </si>
  <si>
    <t>Act YTD + Est YTG</t>
  </si>
  <si>
    <t>HCA</t>
  </si>
  <si>
    <t>FY2017</t>
  </si>
  <si>
    <t>Fundraising, Services &amp; Gifts</t>
  </si>
  <si>
    <t xml:space="preserve">Unrestricted </t>
  </si>
  <si>
    <t>YEE</t>
  </si>
  <si>
    <t>Summary Grant Data</t>
  </si>
  <si>
    <t>Fed</t>
  </si>
  <si>
    <t>State</t>
  </si>
  <si>
    <t>City</t>
  </si>
  <si>
    <t>Pvt Found</t>
  </si>
  <si>
    <t>Unrestr</t>
  </si>
  <si>
    <r>
      <t>FY2017</t>
    </r>
    <r>
      <rPr>
        <b/>
        <u/>
        <vertAlign val="superscript"/>
        <sz val="12"/>
        <color theme="1"/>
        <rFont val="Calibri"/>
        <family val="2"/>
        <scheme val="minor"/>
      </rPr>
      <t>1</t>
    </r>
  </si>
  <si>
    <r>
      <t>What If?</t>
    </r>
    <r>
      <rPr>
        <b/>
        <u/>
        <vertAlign val="superscript"/>
        <sz val="12"/>
        <color theme="1"/>
        <rFont val="Calibri"/>
        <family val="2"/>
        <scheme val="minor"/>
      </rPr>
      <t>2</t>
    </r>
  </si>
  <si>
    <t>No resettlement program removes, TAP, RSS, ICM, Elders, RCA, RSIG, R&amp;P, MG, PC</t>
  </si>
  <si>
    <t>No CEF for 2nd half of 2017 (no idea at this time if grant will be available)</t>
  </si>
  <si>
    <t>No TBA's from orig budget(no incr. ECBO grant, no identified Pvt Found grant)</t>
  </si>
  <si>
    <t>YEE assumes R&amp;P 38 arrivals thru Mar, 0 more until Sept, 30 more Oct-Dec</t>
  </si>
  <si>
    <t>MG 8 enrollments Jan-Mar, 0 more until Sept, 10 more Oct-Dec</t>
  </si>
  <si>
    <t>Healing Trust ends in 2017, No assumption regarding CEF for 2018</t>
  </si>
  <si>
    <t>No resource on staff to support fundraising activities</t>
  </si>
  <si>
    <t>Organization Donations</t>
  </si>
  <si>
    <t>Individual Donations</t>
  </si>
  <si>
    <t>JOE C. DAVIS</t>
  </si>
  <si>
    <t>United Way</t>
  </si>
  <si>
    <t>Dollar General</t>
  </si>
  <si>
    <t>Dan &amp; Margaret Maddox</t>
  </si>
  <si>
    <t>Memorial Foundation</t>
  </si>
  <si>
    <t>Scarlett Family Foundation</t>
  </si>
  <si>
    <t>Community Foundation of TN</t>
  </si>
  <si>
    <t>IELCE</t>
  </si>
  <si>
    <t>Expenses by programs</t>
  </si>
  <si>
    <t>Employment</t>
  </si>
  <si>
    <t>Resettlement</t>
  </si>
  <si>
    <t xml:space="preserve">Health </t>
  </si>
  <si>
    <t>Education</t>
  </si>
  <si>
    <t>Social Adj/Immigration</t>
  </si>
  <si>
    <t>Admin</t>
  </si>
  <si>
    <t>Fundraising</t>
  </si>
  <si>
    <t>Expenses by Categories</t>
  </si>
  <si>
    <t>Salaries</t>
  </si>
  <si>
    <t>Taxes and Benefits</t>
  </si>
  <si>
    <t>Travel</t>
  </si>
  <si>
    <t>Communications</t>
  </si>
  <si>
    <t>Occupancy</t>
  </si>
  <si>
    <t>Professional Contractuals</t>
  </si>
  <si>
    <t>Insurance &amp; Depreciation</t>
  </si>
  <si>
    <t>Professional Development</t>
  </si>
  <si>
    <t>Vehicle Services &amp; Usage</t>
  </si>
  <si>
    <t xml:space="preserve">PEACE Ambassadors USA - FEMA </t>
  </si>
  <si>
    <t>Miscs</t>
  </si>
  <si>
    <t>Glossary Descriptions</t>
  </si>
  <si>
    <t>AIG - American Insurance Groups</t>
  </si>
  <si>
    <t>CPF - Community Partnership Fund</t>
  </si>
  <si>
    <t>CFMT - Community Foundation of Middle TN</t>
  </si>
  <si>
    <t>DG- Dollar General Foundation</t>
  </si>
  <si>
    <t>ECDC - Ethiopia Development Council, Inc</t>
  </si>
  <si>
    <t>ELD - Elders</t>
  </si>
  <si>
    <t xml:space="preserve">MG- Match Grant </t>
  </si>
  <si>
    <t>MD- Dan &amp; Margaret Maddox</t>
  </si>
  <si>
    <t>MF- Memorial Foundation</t>
  </si>
  <si>
    <t>NAZA - Nashville Afterschool Zone Alliance</t>
  </si>
  <si>
    <t>PC- Preference Communities Grant</t>
  </si>
  <si>
    <t>RCA/RMA- Refugee Cash Assistance/Medical Assistance</t>
  </si>
  <si>
    <t>RSS- Refugee Social Service</t>
  </si>
  <si>
    <t xml:space="preserve">R&amp;P- Reception &amp; Placement </t>
  </si>
  <si>
    <t>SFF- Scarlett Family Foundation</t>
  </si>
  <si>
    <t>SIG- School Impact Grant</t>
  </si>
  <si>
    <t>TOR- Tennessee Office for Refugees</t>
  </si>
  <si>
    <t>TAP- Target Assistance Program</t>
  </si>
  <si>
    <t>UW - United Way</t>
  </si>
  <si>
    <t>FY2019</t>
  </si>
  <si>
    <t>R&amp;P</t>
  </si>
  <si>
    <t xml:space="preserve">MG </t>
  </si>
  <si>
    <t>Supplies &amp; Books</t>
  </si>
  <si>
    <t>FY2020</t>
  </si>
  <si>
    <t>DHS</t>
  </si>
  <si>
    <t>Development/Fundraising</t>
  </si>
  <si>
    <t>Licenses, fees &amp; non-payroll taxes</t>
  </si>
  <si>
    <t>Tyson</t>
  </si>
  <si>
    <t>FY2021</t>
  </si>
  <si>
    <t>TIRRC</t>
  </si>
  <si>
    <t>MDHA</t>
  </si>
  <si>
    <t>PPP funding</t>
  </si>
  <si>
    <t>RSS-COVID</t>
  </si>
  <si>
    <t>Private TBD</t>
  </si>
  <si>
    <t>Direct Client Cash Asst</t>
  </si>
  <si>
    <t>WF-TANF</t>
  </si>
  <si>
    <t>NAZA summer</t>
  </si>
  <si>
    <t>Latest Est</t>
  </si>
  <si>
    <t>FY2022</t>
  </si>
  <si>
    <t>MTA-JARC</t>
  </si>
  <si>
    <t>STATE/LOCAL</t>
  </si>
  <si>
    <t xml:space="preserve">COVID Ed </t>
  </si>
  <si>
    <t>APA</t>
  </si>
  <si>
    <t>APA Suppl</t>
  </si>
  <si>
    <t>Update</t>
  </si>
  <si>
    <t>RSS-ASA</t>
  </si>
  <si>
    <t>RHP</t>
  </si>
  <si>
    <t>PC-ASA 2</t>
  </si>
  <si>
    <t>Open Door Network</t>
  </si>
  <si>
    <t>UW-Welcoming Nashville</t>
  </si>
  <si>
    <t>United Way-Supp</t>
  </si>
  <si>
    <t>ARSI</t>
  </si>
  <si>
    <t>Client Support from Donations</t>
  </si>
  <si>
    <t>FY2023</t>
  </si>
  <si>
    <t>Health Disp</t>
  </si>
  <si>
    <t>Vac Coop</t>
  </si>
  <si>
    <t>PIF</t>
  </si>
  <si>
    <t>USCIS</t>
  </si>
  <si>
    <t>MG-Gallatin</t>
  </si>
  <si>
    <t>PC-APA Gallatin</t>
  </si>
  <si>
    <t>PC-UHP Gallatin</t>
  </si>
  <si>
    <t>R&amp;P Gallatin</t>
  </si>
  <si>
    <t>PC-UHP FY22 carryover</t>
  </si>
  <si>
    <t>PC-UHP FY23</t>
  </si>
  <si>
    <t>PC-APA FY22 carryover</t>
  </si>
  <si>
    <t>PC-APA FY23</t>
  </si>
  <si>
    <t>Youth Education</t>
  </si>
  <si>
    <t>Resettlement/Employment/Benefits</t>
  </si>
  <si>
    <t>Adult Education/Immigration</t>
  </si>
  <si>
    <t>Health</t>
  </si>
  <si>
    <t>% chg PY</t>
  </si>
  <si>
    <t xml:space="preserve">PC-UHP FY22 </t>
  </si>
  <si>
    <t xml:space="preserve">PC-APA FY22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</si>
</sst>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u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4" fillId="0" borderId="0" xfId="0" applyFont="1"/>
    <xf numFmtId="164" fontId="0" fillId="0" borderId="0" xfId="1" applyNumberFormat="1" applyFont="1"/>
    <xf numFmtId="0" fontId="5" fillId="0" borderId="0" xfId="0" applyFont="1"/>
    <xf numFmtId="0" fontId="6" fillId="0" borderId="0" xfId="0" applyFont="1"/>
    <xf numFmtId="164" fontId="6" fillId="0" borderId="0" xfId="1" applyNumberFormat="1" applyFont="1"/>
    <xf numFmtId="164" fontId="7" fillId="0" borderId="0" xfId="1" applyNumberFormat="1" applyFont="1" applyBorder="1"/>
    <xf numFmtId="0" fontId="6" fillId="0" borderId="2" xfId="0" applyFont="1" applyBorder="1" applyAlignment="1">
      <alignment horizontal="center"/>
    </xf>
    <xf numFmtId="164" fontId="3" fillId="0" borderId="0" xfId="1" applyNumberFormat="1" applyFont="1"/>
    <xf numFmtId="0" fontId="0" fillId="0" borderId="0" xfId="0" applyFont="1"/>
    <xf numFmtId="164" fontId="4" fillId="0" borderId="0" xfId="2" applyNumberFormat="1" applyFont="1"/>
    <xf numFmtId="164" fontId="7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5" fontId="0" fillId="0" borderId="0" xfId="1" applyNumberFormat="1" applyFont="1"/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/>
    <xf numFmtId="164" fontId="4" fillId="0" borderId="0" xfId="1" applyNumberFormat="1" applyFont="1"/>
    <xf numFmtId="164" fontId="0" fillId="0" borderId="0" xfId="0" applyNumberFormat="1" applyBorder="1"/>
    <xf numFmtId="42" fontId="4" fillId="0" borderId="3" xfId="0" applyNumberFormat="1" applyFont="1" applyBorder="1"/>
    <xf numFmtId="9" fontId="0" fillId="0" borderId="0" xfId="2" applyFont="1"/>
    <xf numFmtId="9" fontId="4" fillId="0" borderId="0" xfId="2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0" fontId="4" fillId="0" borderId="0" xfId="2" applyNumberFormat="1" applyFont="1"/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14">
    <cellStyle name="Comma 2" xfId="3"/>
    <cellStyle name="Currency" xfId="1" builtinId="4"/>
    <cellStyle name="Normal" xfId="0" builtinId="0"/>
    <cellStyle name="Normal 2" xfId="4"/>
    <cellStyle name="Normal 2 2" xfId="10"/>
    <cellStyle name="Normal 3" xfId="5"/>
    <cellStyle name="Normal 4" xfId="6"/>
    <cellStyle name="Normal 4 2" xfId="11"/>
    <cellStyle name="Normal 5" xfId="7"/>
    <cellStyle name="Normal 5 2" xfId="12"/>
    <cellStyle name="Note 2" xfId="8"/>
    <cellStyle name="Note 2 2" xfId="1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 Budget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Sheet2!$B$7</c:f>
              <c:strCache>
                <c:ptCount val="1"/>
                <c:pt idx="0">
                  <c:v>Fed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Sheet2!$C$7:$E$7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D3-4460-8822-79380C2131E7}"/>
            </c:ext>
          </c:extLst>
        </c:ser>
        <c:ser>
          <c:idx val="1"/>
          <c:order val="1"/>
          <c:tx>
            <c:strRef>
              <c:f>Sheet2!$B$8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Sheet2!$C$8:$E$8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D3-4460-8822-79380C2131E7}"/>
            </c:ext>
          </c:extLst>
        </c:ser>
        <c:ser>
          <c:idx val="2"/>
          <c:order val="2"/>
          <c:tx>
            <c:strRef>
              <c:f>Sheet2!$B$9</c:f>
              <c:strCache>
                <c:ptCount val="1"/>
                <c:pt idx="0">
                  <c:v>City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Sheet2!$C$9:$E$9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D3-4460-8822-79380C2131E7}"/>
            </c:ext>
          </c:extLst>
        </c:ser>
        <c:ser>
          <c:idx val="3"/>
          <c:order val="3"/>
          <c:tx>
            <c:strRef>
              <c:f>Sheet2!$B$10</c:f>
              <c:strCache>
                <c:ptCount val="1"/>
                <c:pt idx="0">
                  <c:v>Pvt Found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Sheet2!$C$10:$E$10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D3-4460-8822-79380C2131E7}"/>
            </c:ext>
          </c:extLst>
        </c:ser>
        <c:ser>
          <c:idx val="4"/>
          <c:order val="4"/>
          <c:tx>
            <c:strRef>
              <c:f>Sheet2!$B$11</c:f>
              <c:strCache>
                <c:ptCount val="1"/>
                <c:pt idx="0">
                  <c:v>Unrestr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Sheet2!$C$11:$E$11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D3-4460-8822-79380C213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680040"/>
        <c:axId val="521678472"/>
      </c:barChart>
      <c:catAx>
        <c:axId val="5216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78472"/>
        <c:crosses val="autoZero"/>
        <c:auto val="1"/>
        <c:lblAlgn val="ctr"/>
        <c:lblOffset val="100"/>
        <c:noMultiLvlLbl val="0"/>
      </c:catAx>
      <c:valAx>
        <c:axId val="52167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80040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14287</xdr:rowOff>
    </xdr:from>
    <xdr:to>
      <xdr:col>6</xdr:col>
      <xdr:colOff>276225</xdr:colOff>
      <xdr:row>36</xdr:row>
      <xdr:rowOff>157162</xdr:rowOff>
    </xdr:to>
    <xdr:graphicFrame macro="">
      <xdr:nvGraphicFramePr>
        <xdr:cNvPr id="6" name="Chart 5" title="2017 Budget Analysi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CE%20FY22%20Budget%2012.5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60">
          <cell r="N60">
            <v>441162.68025825481</v>
          </cell>
        </row>
        <row r="61">
          <cell r="N61">
            <v>560686.18375726754</v>
          </cell>
        </row>
        <row r="62">
          <cell r="N62">
            <v>226012.11668463127</v>
          </cell>
        </row>
        <row r="63">
          <cell r="N63">
            <v>1007820.5479021639</v>
          </cell>
        </row>
        <row r="64">
          <cell r="N64">
            <v>658352.90549949906</v>
          </cell>
        </row>
        <row r="65">
          <cell r="N65">
            <v>199402.73921942062</v>
          </cell>
        </row>
        <row r="66">
          <cell r="N66">
            <v>152211.10904383665</v>
          </cell>
        </row>
        <row r="70">
          <cell r="N70">
            <v>2050234.8454545455</v>
          </cell>
        </row>
        <row r="71">
          <cell r="N71">
            <v>262501.61363636365</v>
          </cell>
        </row>
        <row r="72">
          <cell r="N72">
            <v>13856.454545454546</v>
          </cell>
        </row>
        <row r="73">
          <cell r="N73">
            <v>21752.563636363637</v>
          </cell>
        </row>
        <row r="74">
          <cell r="N74">
            <v>67027.172727272715</v>
          </cell>
        </row>
        <row r="75">
          <cell r="N75">
            <v>14188.284880959565</v>
          </cell>
        </row>
        <row r="76">
          <cell r="N76">
            <v>74531.45</v>
          </cell>
        </row>
        <row r="77">
          <cell r="N77">
            <v>88471.663636363621</v>
          </cell>
        </row>
        <row r="78">
          <cell r="N78">
            <v>4300</v>
          </cell>
        </row>
        <row r="79">
          <cell r="N79">
            <v>58823.665665932582</v>
          </cell>
        </row>
        <row r="80">
          <cell r="N80">
            <v>7000</v>
          </cell>
        </row>
        <row r="81">
          <cell r="N81">
            <v>66441.818181818177</v>
          </cell>
        </row>
        <row r="82">
          <cell r="N82">
            <v>0</v>
          </cell>
        </row>
        <row r="83">
          <cell r="N83">
            <v>516518.75000000006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zoomScaleNormal="100" workbookViewId="0">
      <pane xSplit="9" ySplit="2" topLeftCell="J48" activePane="bottomRight" state="frozen"/>
      <selection pane="topRight" activeCell="J1" sqref="J1"/>
      <selection pane="bottomLeft" activeCell="A3" sqref="A3"/>
      <selection pane="bottomRight" activeCell="A48" sqref="A48:XFD48"/>
    </sheetView>
  </sheetViews>
  <sheetFormatPr defaultColWidth="11" defaultRowHeight="15.6" x14ac:dyDescent="0.3"/>
  <cols>
    <col min="1" max="1" width="8.796875" customWidth="1"/>
    <col min="2" max="2" width="3" customWidth="1"/>
    <col min="3" max="3" width="5.09765625" customWidth="1"/>
    <col min="4" max="4" width="8" customWidth="1"/>
    <col min="5" max="5" width="17.296875" customWidth="1"/>
    <col min="6" max="6" width="7.09765625" customWidth="1"/>
    <col min="7" max="8" width="16.296875" hidden="1" customWidth="1"/>
    <col min="9" max="9" width="22.09765625" hidden="1" customWidth="1"/>
    <col min="10" max="10" width="15.69921875" customWidth="1"/>
    <col min="11" max="16" width="16.19921875" style="24" customWidth="1"/>
    <col min="17" max="17" width="12.3984375" hidden="1" customWidth="1"/>
  </cols>
  <sheetData>
    <row r="1" spans="1:16" ht="31.5" customHeight="1" x14ac:dyDescent="0.3">
      <c r="G1" s="1" t="s">
        <v>23</v>
      </c>
      <c r="H1" s="1" t="s">
        <v>0</v>
      </c>
      <c r="I1" s="1" t="s">
        <v>25</v>
      </c>
      <c r="J1" s="1" t="s">
        <v>23</v>
      </c>
      <c r="K1" s="1" t="s">
        <v>23</v>
      </c>
      <c r="L1" s="1" t="s">
        <v>0</v>
      </c>
      <c r="M1" s="1" t="s">
        <v>114</v>
      </c>
      <c r="N1" s="1" t="s">
        <v>0</v>
      </c>
      <c r="O1" s="1" t="s">
        <v>121</v>
      </c>
      <c r="P1" s="1" t="s">
        <v>0</v>
      </c>
    </row>
    <row r="2" spans="1:16" x14ac:dyDescent="0.3">
      <c r="A2" s="2"/>
      <c r="C2" s="3"/>
      <c r="D2" s="3"/>
      <c r="E2" s="3"/>
      <c r="F2" s="3"/>
      <c r="G2" s="10" t="s">
        <v>13</v>
      </c>
      <c r="H2" s="10" t="s">
        <v>17</v>
      </c>
      <c r="I2" s="10" t="s">
        <v>17</v>
      </c>
      <c r="J2" s="21" t="s">
        <v>96</v>
      </c>
      <c r="K2" s="21" t="s">
        <v>100</v>
      </c>
      <c r="L2" s="21" t="s">
        <v>105</v>
      </c>
      <c r="M2" s="21" t="s">
        <v>105</v>
      </c>
      <c r="N2" s="21" t="s">
        <v>115</v>
      </c>
      <c r="O2" s="21" t="s">
        <v>115</v>
      </c>
      <c r="P2" s="21" t="s">
        <v>130</v>
      </c>
    </row>
    <row r="3" spans="1:16" x14ac:dyDescent="0.3">
      <c r="A3" s="4" t="s">
        <v>1</v>
      </c>
      <c r="C3" s="4" t="s">
        <v>2</v>
      </c>
      <c r="D3" s="4"/>
      <c r="E3" s="4"/>
    </row>
    <row r="4" spans="1:16" ht="21" x14ac:dyDescent="0.4">
      <c r="A4" s="16" t="s">
        <v>21</v>
      </c>
      <c r="C4" t="s">
        <v>3</v>
      </c>
      <c r="D4" s="4" t="s">
        <v>4</v>
      </c>
      <c r="E4" t="s">
        <v>5</v>
      </c>
      <c r="G4" s="5">
        <v>83968</v>
      </c>
      <c r="H4" s="5">
        <v>104171</v>
      </c>
      <c r="I4" s="5">
        <v>104171</v>
      </c>
      <c r="J4" s="11">
        <v>217021</v>
      </c>
      <c r="K4" s="11">
        <v>250353</v>
      </c>
      <c r="L4" s="11">
        <v>296723</v>
      </c>
      <c r="M4" s="11">
        <v>296723</v>
      </c>
      <c r="N4" s="11">
        <v>288708</v>
      </c>
      <c r="O4" s="11">
        <v>288708</v>
      </c>
      <c r="P4" s="11">
        <f>74691*4</f>
        <v>298764</v>
      </c>
    </row>
    <row r="5" spans="1:16" s="24" customFormat="1" ht="21" x14ac:dyDescent="0.4">
      <c r="A5" s="16"/>
      <c r="D5" s="22"/>
      <c r="E5" s="24" t="s">
        <v>122</v>
      </c>
      <c r="G5" s="5"/>
      <c r="H5" s="5"/>
      <c r="I5" s="5"/>
      <c r="J5" s="11"/>
      <c r="K5" s="11"/>
      <c r="L5" s="11"/>
      <c r="M5" s="11"/>
      <c r="N5" s="11">
        <v>0</v>
      </c>
      <c r="O5" s="11">
        <v>49450</v>
      </c>
      <c r="P5" s="11">
        <v>260369</v>
      </c>
    </row>
    <row r="6" spans="1:16" x14ac:dyDescent="0.3">
      <c r="E6" t="s">
        <v>6</v>
      </c>
      <c r="G6" s="5">
        <v>55869</v>
      </c>
      <c r="H6" s="5">
        <v>62769</v>
      </c>
      <c r="I6" s="5">
        <v>62769</v>
      </c>
      <c r="J6" s="11">
        <v>74574</v>
      </c>
      <c r="K6" s="11">
        <v>80948</v>
      </c>
      <c r="L6" s="11">
        <v>93239</v>
      </c>
      <c r="M6" s="11">
        <v>93239</v>
      </c>
      <c r="N6" s="11">
        <v>79188</v>
      </c>
      <c r="O6" s="11">
        <v>79188</v>
      </c>
      <c r="P6" s="11">
        <f>21838*4</f>
        <v>87352</v>
      </c>
    </row>
    <row r="7" spans="1:16" x14ac:dyDescent="0.3">
      <c r="E7" s="24" t="s">
        <v>109</v>
      </c>
      <c r="F7" s="24"/>
      <c r="G7" s="5"/>
      <c r="H7" s="5"/>
      <c r="I7" s="5"/>
      <c r="J7" s="11"/>
      <c r="K7" s="11"/>
      <c r="L7" s="11">
        <v>62696</v>
      </c>
      <c r="M7" s="11">
        <v>62696</v>
      </c>
      <c r="N7" s="11">
        <v>0</v>
      </c>
      <c r="O7" s="11">
        <v>0</v>
      </c>
      <c r="P7" s="11">
        <v>0</v>
      </c>
    </row>
    <row r="8" spans="1:16" s="24" customFormat="1" x14ac:dyDescent="0.3">
      <c r="E8" t="s">
        <v>14</v>
      </c>
      <c r="F8"/>
      <c r="G8" s="5">
        <v>43886</v>
      </c>
      <c r="H8" s="5">
        <v>47104</v>
      </c>
      <c r="I8" s="5">
        <v>47104</v>
      </c>
      <c r="J8" s="5">
        <v>48511</v>
      </c>
      <c r="K8" s="5">
        <v>42074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 x14ac:dyDescent="0.3">
      <c r="E9" t="s">
        <v>19</v>
      </c>
      <c r="G9" s="5">
        <v>1495</v>
      </c>
      <c r="H9" s="5">
        <v>5917</v>
      </c>
      <c r="I9" s="5">
        <v>5917</v>
      </c>
      <c r="J9" s="11">
        <v>23355</v>
      </c>
      <c r="K9" s="11">
        <v>15185</v>
      </c>
      <c r="L9" s="11">
        <v>15634</v>
      </c>
      <c r="M9" s="11">
        <v>15634</v>
      </c>
      <c r="N9" s="11">
        <v>11351</v>
      </c>
      <c r="O9" s="11">
        <v>11351</v>
      </c>
      <c r="P9" s="11">
        <f>3024*4</f>
        <v>12096</v>
      </c>
    </row>
    <row r="10" spans="1:16" s="24" customFormat="1" x14ac:dyDescent="0.3">
      <c r="E10" s="24" t="s">
        <v>123</v>
      </c>
      <c r="G10" s="5"/>
      <c r="H10" s="5"/>
      <c r="I10" s="5"/>
      <c r="J10" s="11"/>
      <c r="K10" s="11"/>
      <c r="L10" s="11"/>
      <c r="M10" s="11"/>
      <c r="N10" s="11">
        <v>0</v>
      </c>
      <c r="O10" s="11">
        <v>6080</v>
      </c>
      <c r="P10" s="11">
        <v>49419</v>
      </c>
    </row>
    <row r="11" spans="1:16" x14ac:dyDescent="0.3">
      <c r="E11" s="24" t="s">
        <v>112</v>
      </c>
      <c r="F11" s="24"/>
      <c r="G11" s="5"/>
      <c r="H11" s="5"/>
      <c r="I11" s="5"/>
      <c r="J11" s="11"/>
      <c r="K11" s="11"/>
      <c r="L11" s="11">
        <v>0</v>
      </c>
      <c r="M11" s="11">
        <v>67366</v>
      </c>
      <c r="N11" s="11">
        <v>112916</v>
      </c>
      <c r="O11" s="11">
        <v>112916</v>
      </c>
      <c r="P11" s="11">
        <f>26762*4</f>
        <v>107048</v>
      </c>
    </row>
    <row r="12" spans="1:16" s="24" customFormat="1" x14ac:dyDescent="0.3">
      <c r="E12" t="s">
        <v>7</v>
      </c>
      <c r="F12"/>
      <c r="G12" s="5">
        <v>7775</v>
      </c>
      <c r="H12" s="5">
        <v>9170</v>
      </c>
      <c r="I12" s="5">
        <v>10385</v>
      </c>
      <c r="J12" s="5">
        <v>52784</v>
      </c>
      <c r="K12" s="5">
        <v>53177</v>
      </c>
      <c r="L12" s="5">
        <v>74180</v>
      </c>
      <c r="M12" s="5">
        <v>74180</v>
      </c>
      <c r="N12" s="5">
        <v>62772</v>
      </c>
      <c r="O12" s="5">
        <v>62772</v>
      </c>
      <c r="P12" s="5">
        <f>18746*4</f>
        <v>74984</v>
      </c>
    </row>
    <row r="13" spans="1:16" s="24" customFormat="1" x14ac:dyDescent="0.3">
      <c r="E13" s="24" t="s">
        <v>128</v>
      </c>
      <c r="G13" s="5"/>
      <c r="H13" s="5"/>
      <c r="I13" s="5"/>
      <c r="J13" s="5"/>
      <c r="K13" s="5"/>
      <c r="L13" s="5"/>
      <c r="M13" s="5"/>
      <c r="N13" s="5">
        <v>0</v>
      </c>
      <c r="O13" s="5">
        <v>22838</v>
      </c>
      <c r="P13" s="5">
        <v>27250</v>
      </c>
    </row>
    <row r="14" spans="1:16" s="24" customFormat="1" x14ac:dyDescent="0.3">
      <c r="D14" s="30" t="s">
        <v>117</v>
      </c>
      <c r="E14" s="24" t="s">
        <v>107</v>
      </c>
      <c r="G14" s="5"/>
      <c r="H14" s="5"/>
      <c r="I14" s="5"/>
      <c r="J14" s="5"/>
      <c r="K14" s="5">
        <v>20000</v>
      </c>
      <c r="L14" s="5"/>
      <c r="M14" s="5">
        <v>20000</v>
      </c>
      <c r="N14" s="5">
        <v>20000</v>
      </c>
      <c r="O14" s="5">
        <v>35000</v>
      </c>
      <c r="P14" s="5">
        <v>35000</v>
      </c>
    </row>
    <row r="15" spans="1:16" s="24" customFormat="1" x14ac:dyDescent="0.3">
      <c r="E15" s="24" t="s">
        <v>116</v>
      </c>
      <c r="G15" s="5"/>
      <c r="H15" s="5"/>
      <c r="I15" s="5"/>
      <c r="J15" s="5"/>
      <c r="K15" s="5"/>
      <c r="L15" s="5"/>
      <c r="M15" s="5">
        <v>140000</v>
      </c>
      <c r="N15" s="5">
        <v>140000</v>
      </c>
      <c r="O15" s="5">
        <v>85700</v>
      </c>
      <c r="P15" s="5">
        <v>85700</v>
      </c>
    </row>
    <row r="16" spans="1:16" s="24" customFormat="1" x14ac:dyDescent="0.3">
      <c r="E16" s="24" t="s">
        <v>18</v>
      </c>
      <c r="F16" s="7"/>
      <c r="G16" s="5">
        <v>15000</v>
      </c>
      <c r="H16" s="5">
        <v>18000</v>
      </c>
      <c r="I16" s="5">
        <f>9000+18000</f>
        <v>27000</v>
      </c>
      <c r="J16" s="5">
        <v>17953</v>
      </c>
      <c r="K16" s="5">
        <v>36505</v>
      </c>
      <c r="L16" s="5">
        <f>(20*1232*0.5)+(30*1232*0.5)</f>
        <v>30800</v>
      </c>
      <c r="M16" s="5">
        <f>(20*1232*0.5)+(30*1232*0.5)</f>
        <v>30800</v>
      </c>
      <c r="N16" s="5">
        <v>30800</v>
      </c>
      <c r="O16" s="5">
        <v>47124</v>
      </c>
      <c r="P16" s="5">
        <v>51836</v>
      </c>
    </row>
    <row r="17" spans="1:16" s="24" customFormat="1" x14ac:dyDescent="0.3">
      <c r="E17" s="24" t="s">
        <v>113</v>
      </c>
      <c r="F17" s="7"/>
      <c r="G17" s="5"/>
      <c r="H17" s="5"/>
      <c r="I17" s="5"/>
      <c r="J17" s="5"/>
      <c r="K17" s="5"/>
      <c r="L17" s="5">
        <v>0</v>
      </c>
      <c r="M17" s="5">
        <f>19800*2</f>
        <v>39600</v>
      </c>
      <c r="N17" s="5">
        <v>39600</v>
      </c>
      <c r="O17" s="5">
        <v>18720</v>
      </c>
      <c r="P17" s="5">
        <v>18720</v>
      </c>
    </row>
    <row r="18" spans="1:16" s="24" customFormat="1" x14ac:dyDescent="0.3">
      <c r="E18" s="24" t="s">
        <v>132</v>
      </c>
      <c r="F18" s="7"/>
      <c r="G18" s="5"/>
      <c r="H18" s="5"/>
      <c r="I18" s="5"/>
      <c r="J18" s="11"/>
      <c r="K18" s="11"/>
      <c r="L18" s="5"/>
      <c r="M18" s="5"/>
      <c r="N18" s="5"/>
      <c r="O18" s="5"/>
      <c r="P18" s="5">
        <v>225899</v>
      </c>
    </row>
    <row r="19" spans="1:16" s="24" customFormat="1" x14ac:dyDescent="0.3">
      <c r="E19" s="24" t="s">
        <v>131</v>
      </c>
      <c r="F19" s="7"/>
      <c r="G19" s="5"/>
      <c r="H19" s="5"/>
      <c r="I19" s="5"/>
      <c r="J19" s="11"/>
      <c r="K19" s="11"/>
      <c r="L19" s="5"/>
      <c r="M19" s="5"/>
      <c r="N19" s="5"/>
      <c r="O19" s="5"/>
      <c r="P19" s="5">
        <v>55000</v>
      </c>
    </row>
    <row r="20" spans="1:16" s="24" customFormat="1" x14ac:dyDescent="0.3">
      <c r="E20" s="24" t="s">
        <v>118</v>
      </c>
      <c r="F20" s="7"/>
      <c r="G20" s="5"/>
      <c r="H20" s="5"/>
      <c r="I20" s="5"/>
      <c r="J20" s="5"/>
      <c r="K20" s="5"/>
      <c r="L20" s="5"/>
      <c r="M20" s="5">
        <v>45000</v>
      </c>
      <c r="N20" s="5">
        <v>0</v>
      </c>
      <c r="O20" s="5">
        <v>55000</v>
      </c>
      <c r="P20" s="5">
        <v>55000</v>
      </c>
    </row>
    <row r="21" spans="1:16" s="24" customFormat="1" x14ac:dyDescent="0.3">
      <c r="D21" s="22"/>
      <c r="E21" s="24" t="s">
        <v>55</v>
      </c>
      <c r="G21" s="5"/>
      <c r="H21" s="5"/>
      <c r="I21" s="5"/>
      <c r="J21" s="5">
        <v>257103</v>
      </c>
      <c r="K21" s="5">
        <v>318413</v>
      </c>
      <c r="L21" s="5">
        <f>367000+38000</f>
        <v>405000</v>
      </c>
      <c r="M21" s="5">
        <f>367000+38000</f>
        <v>405000</v>
      </c>
      <c r="N21" s="5">
        <v>460000</v>
      </c>
      <c r="O21" s="5">
        <v>490000</v>
      </c>
      <c r="P21" s="5">
        <v>490000</v>
      </c>
    </row>
    <row r="22" spans="1:16" x14ac:dyDescent="0.3">
      <c r="E22" s="7"/>
      <c r="F22" s="7" t="s">
        <v>8</v>
      </c>
      <c r="G22" s="8">
        <f>SUM(G4:G21)</f>
        <v>207993</v>
      </c>
      <c r="H22" s="8">
        <f>SUM(H4:H21)</f>
        <v>247131</v>
      </c>
      <c r="I22" s="8">
        <f>SUM(I4:I21)</f>
        <v>257346</v>
      </c>
      <c r="J22" s="8">
        <f>SUM(J4:J21)</f>
        <v>691301</v>
      </c>
      <c r="K22" s="8">
        <f>SUM(K4:K21)</f>
        <v>816655</v>
      </c>
      <c r="L22" s="8">
        <f>SUM(L4:L21)</f>
        <v>978272</v>
      </c>
      <c r="M22" s="8">
        <f>SUM(M4:M21)</f>
        <v>1290238</v>
      </c>
      <c r="N22" s="8">
        <f>SUM(N4:N21)</f>
        <v>1245335</v>
      </c>
      <c r="O22" s="8">
        <f>SUM(O4:O21)</f>
        <v>1364847</v>
      </c>
      <c r="P22" s="8">
        <f>SUM(P4:P21)</f>
        <v>1934437</v>
      </c>
    </row>
    <row r="23" spans="1:16" x14ac:dyDescent="0.3">
      <c r="D23" s="6"/>
      <c r="E23" s="7"/>
      <c r="F23" s="4" t="s">
        <v>16</v>
      </c>
      <c r="G23" s="13"/>
      <c r="H23" s="13"/>
      <c r="I23" s="13"/>
      <c r="J23" s="13"/>
      <c r="K23" s="29">
        <f>+(K22-J22)/J22</f>
        <v>0.18133056367631467</v>
      </c>
      <c r="L23" s="29">
        <f>+(L22-J22)/J22</f>
        <v>0.41511729333531994</v>
      </c>
      <c r="M23" s="29">
        <f>+(M22-K22)/K22</f>
        <v>0.57990583538948515</v>
      </c>
      <c r="N23" s="29">
        <f>+(N22-M22)/M22</f>
        <v>-3.4802106278066527E-2</v>
      </c>
      <c r="O23" s="29">
        <f>+(O22-M22)/M22</f>
        <v>5.7825765478927142E-2</v>
      </c>
      <c r="P23" s="29">
        <f>+(P22-N22)/N22</f>
        <v>0.55334668984650714</v>
      </c>
    </row>
    <row r="24" spans="1:16" ht="21" x14ac:dyDescent="0.4">
      <c r="A24" s="16" t="s">
        <v>20</v>
      </c>
      <c r="D24" s="4" t="s">
        <v>9</v>
      </c>
      <c r="E24" t="s">
        <v>97</v>
      </c>
      <c r="G24" s="5">
        <v>377075</v>
      </c>
      <c r="H24" s="5">
        <f>2025*270</f>
        <v>546750</v>
      </c>
      <c r="I24" s="5">
        <v>626271</v>
      </c>
      <c r="J24" s="5">
        <v>422450</v>
      </c>
      <c r="K24" s="5">
        <v>141575</v>
      </c>
      <c r="L24" s="5">
        <f>131*2225</f>
        <v>291475</v>
      </c>
      <c r="M24" s="5">
        <v>255000</v>
      </c>
      <c r="N24" s="5">
        <v>122375</v>
      </c>
      <c r="O24" s="5">
        <v>493600</v>
      </c>
      <c r="P24" s="5">
        <f>235*2325</f>
        <v>546375</v>
      </c>
    </row>
    <row r="25" spans="1:16" s="24" customFormat="1" ht="21" x14ac:dyDescent="0.4">
      <c r="A25" s="16"/>
      <c r="D25" s="22"/>
      <c r="E25" s="24" t="s">
        <v>138</v>
      </c>
      <c r="G25" s="5"/>
      <c r="H25" s="5"/>
      <c r="I25" s="5"/>
      <c r="J25" s="5"/>
      <c r="K25" s="5"/>
      <c r="L25" s="5"/>
      <c r="M25" s="5"/>
      <c r="N25" s="5"/>
      <c r="O25" s="5"/>
      <c r="P25" s="5">
        <f>50*2325</f>
        <v>116250</v>
      </c>
    </row>
    <row r="26" spans="1:16" s="24" customFormat="1" ht="21" x14ac:dyDescent="0.4">
      <c r="A26" s="16"/>
      <c r="D26" s="22"/>
      <c r="E26" s="24" t="s">
        <v>119</v>
      </c>
      <c r="G26" s="5"/>
      <c r="H26" s="5"/>
      <c r="I26" s="5"/>
      <c r="J26" s="5"/>
      <c r="K26" s="5"/>
      <c r="L26" s="5"/>
      <c r="M26" s="5">
        <v>334425</v>
      </c>
      <c r="N26" s="5">
        <v>333750</v>
      </c>
      <c r="O26" s="5">
        <v>172900</v>
      </c>
      <c r="P26" s="5">
        <v>0</v>
      </c>
    </row>
    <row r="27" spans="1:16" s="24" customFormat="1" ht="21" x14ac:dyDescent="0.4">
      <c r="A27" s="16"/>
      <c r="D27" s="22"/>
      <c r="E27" s="24" t="s">
        <v>120</v>
      </c>
      <c r="G27" s="5"/>
      <c r="H27" s="5"/>
      <c r="I27" s="5"/>
      <c r="J27" s="5"/>
      <c r="K27" s="5"/>
      <c r="L27" s="5"/>
      <c r="M27" s="5"/>
      <c r="N27" s="5">
        <v>228364</v>
      </c>
      <c r="O27" s="5">
        <v>228364</v>
      </c>
      <c r="P27" s="5">
        <v>0</v>
      </c>
    </row>
    <row r="28" spans="1:16" x14ac:dyDescent="0.3">
      <c r="E28" t="s">
        <v>98</v>
      </c>
      <c r="G28" s="5">
        <v>80640</v>
      </c>
      <c r="H28" s="5">
        <f>60*1920</f>
        <v>115200</v>
      </c>
      <c r="I28" s="5">
        <f>60*1920</f>
        <v>115200</v>
      </c>
      <c r="J28" s="5">
        <v>157500</v>
      </c>
      <c r="K28" s="5">
        <v>34100</v>
      </c>
      <c r="L28" s="5">
        <f>40*2150</f>
        <v>86000</v>
      </c>
      <c r="M28" s="5">
        <v>93600</v>
      </c>
      <c r="N28" s="5">
        <v>483000</v>
      </c>
      <c r="O28" s="5">
        <f>(1450*225)+(177*2000)</f>
        <v>680250</v>
      </c>
      <c r="P28" s="5">
        <f>+(25000+(1100*125))+2000*125</f>
        <v>412500</v>
      </c>
    </row>
    <row r="29" spans="1:16" s="24" customFormat="1" x14ac:dyDescent="0.3">
      <c r="E29" s="24" t="s">
        <v>135</v>
      </c>
      <c r="G29" s="5"/>
      <c r="H29" s="5"/>
      <c r="I29" s="5"/>
      <c r="J29" s="5"/>
      <c r="K29" s="5"/>
      <c r="L29" s="5"/>
      <c r="M29" s="5"/>
      <c r="N29" s="5"/>
      <c r="O29" s="5"/>
      <c r="P29" s="5">
        <f>+(25000+(1100*25))+(2000*25)</f>
        <v>102500</v>
      </c>
    </row>
    <row r="30" spans="1:16" x14ac:dyDescent="0.3">
      <c r="E30" t="s">
        <v>15</v>
      </c>
      <c r="G30" s="5">
        <v>47180</v>
      </c>
      <c r="H30" s="5">
        <v>60000</v>
      </c>
      <c r="I30" s="5">
        <v>60000</v>
      </c>
      <c r="J30" s="5">
        <v>61733</v>
      </c>
      <c r="K30" s="5">
        <v>107382</v>
      </c>
      <c r="L30" s="5">
        <v>95000</v>
      </c>
      <c r="M30" s="5">
        <f>70000+15000</f>
        <v>85000</v>
      </c>
      <c r="N30" s="5">
        <v>140000</v>
      </c>
      <c r="O30" s="5">
        <v>140000</v>
      </c>
      <c r="P30" s="5">
        <v>140000</v>
      </c>
    </row>
    <row r="31" spans="1:16" s="24" customFormat="1" x14ac:dyDescent="0.3">
      <c r="E31" s="24" t="s">
        <v>149</v>
      </c>
      <c r="G31" s="5"/>
      <c r="H31" s="5"/>
      <c r="I31" s="5"/>
      <c r="J31" s="5"/>
      <c r="K31" s="5"/>
      <c r="L31" s="5"/>
      <c r="M31" s="5"/>
      <c r="N31" s="5">
        <v>220000</v>
      </c>
      <c r="O31" s="5">
        <v>116603</v>
      </c>
      <c r="P31" s="5">
        <v>103397</v>
      </c>
    </row>
    <row r="32" spans="1:16" s="24" customFormat="1" x14ac:dyDescent="0.3">
      <c r="E32" s="24" t="s">
        <v>142</v>
      </c>
      <c r="G32" s="5"/>
      <c r="H32" s="5"/>
      <c r="I32" s="5"/>
      <c r="J32" s="5"/>
      <c r="K32" s="5"/>
      <c r="L32" s="5"/>
      <c r="M32" s="5"/>
      <c r="N32" s="5"/>
      <c r="O32" s="5"/>
      <c r="P32" s="5">
        <v>350000</v>
      </c>
    </row>
    <row r="33" spans="1:17" s="24" customFormat="1" x14ac:dyDescent="0.3">
      <c r="E33" s="24" t="s">
        <v>124</v>
      </c>
      <c r="G33" s="5"/>
      <c r="H33" s="5"/>
      <c r="I33" s="5"/>
      <c r="J33" s="5"/>
      <c r="K33" s="5"/>
      <c r="L33" s="5"/>
      <c r="M33" s="5"/>
      <c r="N33" s="5">
        <v>0</v>
      </c>
      <c r="O33" s="5">
        <v>116718</v>
      </c>
      <c r="P33" s="5">
        <v>103282</v>
      </c>
    </row>
    <row r="34" spans="1:17" s="24" customFormat="1" x14ac:dyDescent="0.3">
      <c r="E34" s="24" t="s">
        <v>136</v>
      </c>
      <c r="G34" s="5"/>
      <c r="H34" s="5"/>
      <c r="I34" s="5"/>
      <c r="J34" s="5"/>
      <c r="K34" s="5"/>
      <c r="L34" s="5"/>
      <c r="M34" s="5"/>
      <c r="N34" s="5"/>
      <c r="O34" s="5"/>
      <c r="P34" s="5">
        <v>175000</v>
      </c>
    </row>
    <row r="35" spans="1:17" s="24" customFormat="1" x14ac:dyDescent="0.3">
      <c r="E35" s="24" t="s">
        <v>148</v>
      </c>
      <c r="G35" s="5"/>
      <c r="H35" s="5"/>
      <c r="I35" s="5"/>
      <c r="J35" s="5"/>
      <c r="K35" s="5"/>
      <c r="L35" s="5"/>
      <c r="M35" s="5"/>
      <c r="N35" s="5"/>
      <c r="O35" s="5">
        <v>84630</v>
      </c>
      <c r="P35" s="5">
        <v>165370</v>
      </c>
    </row>
    <row r="36" spans="1:17" s="24" customFormat="1" x14ac:dyDescent="0.3">
      <c r="E36" s="24" t="s">
        <v>140</v>
      </c>
      <c r="G36" s="5"/>
      <c r="H36" s="5"/>
      <c r="I36" s="5"/>
      <c r="J36" s="5"/>
      <c r="K36" s="5"/>
      <c r="L36" s="5"/>
      <c r="M36" s="5"/>
      <c r="N36" s="5"/>
      <c r="O36" s="5"/>
      <c r="P36" s="5">
        <v>250000</v>
      </c>
    </row>
    <row r="37" spans="1:17" s="24" customFormat="1" x14ac:dyDescent="0.3">
      <c r="E37" s="24" t="s">
        <v>137</v>
      </c>
      <c r="G37" s="5"/>
      <c r="H37" s="5"/>
      <c r="I37" s="5"/>
      <c r="J37" s="5"/>
      <c r="K37" s="5"/>
      <c r="L37" s="5"/>
      <c r="M37" s="5"/>
      <c r="N37" s="5"/>
      <c r="O37" s="5"/>
      <c r="P37" s="5">
        <v>150000</v>
      </c>
    </row>
    <row r="38" spans="1:17" x14ac:dyDescent="0.3">
      <c r="D38" s="22" t="s">
        <v>101</v>
      </c>
      <c r="E38" t="s">
        <v>134</v>
      </c>
      <c r="G38" s="5"/>
      <c r="H38" s="5"/>
      <c r="I38" s="5"/>
      <c r="J38" s="5">
        <v>37850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f>288928/2</f>
        <v>144464</v>
      </c>
    </row>
    <row r="39" spans="1:17" ht="17.399999999999999" x14ac:dyDescent="0.45">
      <c r="F39" s="7" t="s">
        <v>8</v>
      </c>
      <c r="G39" s="9">
        <f t="shared" ref="G39:P39" si="0">SUM(G24:G38)</f>
        <v>504895</v>
      </c>
      <c r="H39" s="9">
        <f t="shared" si="0"/>
        <v>721950</v>
      </c>
      <c r="I39" s="9">
        <f t="shared" si="0"/>
        <v>801471</v>
      </c>
      <c r="J39" s="9">
        <f t="shared" si="0"/>
        <v>679533</v>
      </c>
      <c r="K39" s="9">
        <f t="shared" si="0"/>
        <v>283057</v>
      </c>
      <c r="L39" s="9">
        <f t="shared" si="0"/>
        <v>472475</v>
      </c>
      <c r="M39" s="9">
        <f t="shared" si="0"/>
        <v>768025</v>
      </c>
      <c r="N39" s="9">
        <f t="shared" si="0"/>
        <v>1527489</v>
      </c>
      <c r="O39" s="9">
        <f t="shared" si="0"/>
        <v>2033065</v>
      </c>
      <c r="P39" s="9">
        <f t="shared" si="0"/>
        <v>2759138</v>
      </c>
    </row>
    <row r="40" spans="1:17" ht="23.4" x14ac:dyDescent="0.45">
      <c r="A40" s="16" t="s">
        <v>24</v>
      </c>
      <c r="C40" s="17"/>
      <c r="F40" s="4" t="s">
        <v>16</v>
      </c>
      <c r="G40" s="13"/>
      <c r="H40" s="13"/>
      <c r="I40" s="13"/>
      <c r="J40" s="13"/>
      <c r="K40" s="29">
        <f>+(K39-J39)/J39</f>
        <v>-0.58345363654156601</v>
      </c>
      <c r="L40" s="29">
        <f>+(L39-J39)/J39</f>
        <v>-0.30470632037001882</v>
      </c>
      <c r="M40" s="29">
        <f>+(M39-K39)/K39</f>
        <v>1.7133227583136965</v>
      </c>
      <c r="N40" s="29">
        <f>+(N39-M39)/M39</f>
        <v>0.98885322743400283</v>
      </c>
      <c r="O40" s="29">
        <f>+(O39-M39)/M39</f>
        <v>1.6471338823606003</v>
      </c>
      <c r="P40" s="29">
        <f>+(P39-N39)/N39</f>
        <v>0.80632266418939846</v>
      </c>
    </row>
    <row r="41" spans="1:17" ht="23.4" x14ac:dyDescent="0.45">
      <c r="A41" s="16"/>
      <c r="C41" s="17"/>
      <c r="D41" s="18"/>
      <c r="E41" s="12" t="s">
        <v>49</v>
      </c>
      <c r="F41" s="7"/>
      <c r="G41" s="5">
        <v>51700</v>
      </c>
      <c r="H41" s="5">
        <v>51700</v>
      </c>
      <c r="I41" s="5">
        <v>51700</v>
      </c>
      <c r="J41" s="5">
        <v>80570</v>
      </c>
      <c r="K41" s="5">
        <v>73000</v>
      </c>
      <c r="L41" s="5">
        <v>73000</v>
      </c>
      <c r="M41" s="5">
        <v>73000</v>
      </c>
      <c r="N41" s="5">
        <v>73000</v>
      </c>
      <c r="O41" s="5">
        <v>73000</v>
      </c>
      <c r="P41" s="5">
        <v>73000</v>
      </c>
    </row>
    <row r="42" spans="1:17" s="24" customFormat="1" ht="23.4" x14ac:dyDescent="0.45">
      <c r="A42" s="16"/>
      <c r="C42" s="17"/>
      <c r="D42" s="18"/>
      <c r="E42" s="23" t="s">
        <v>127</v>
      </c>
      <c r="F42" s="7"/>
      <c r="G42" s="5"/>
      <c r="H42" s="5"/>
      <c r="I42" s="5"/>
      <c r="J42" s="5"/>
      <c r="K42" s="5"/>
      <c r="L42" s="5"/>
      <c r="M42" s="5"/>
      <c r="N42" s="5">
        <v>0</v>
      </c>
      <c r="O42" s="5">
        <v>58300</v>
      </c>
      <c r="P42" s="5">
        <v>0</v>
      </c>
      <c r="Q42" s="5"/>
    </row>
    <row r="43" spans="1:17" ht="21" customHeight="1" x14ac:dyDescent="0.45">
      <c r="D43" s="18"/>
      <c r="E43" t="s">
        <v>50</v>
      </c>
      <c r="F43" s="7"/>
      <c r="G43" s="5">
        <v>15000</v>
      </c>
      <c r="H43" s="5">
        <v>15000</v>
      </c>
      <c r="I43" s="5">
        <v>15000</v>
      </c>
      <c r="J43" s="5">
        <v>50981</v>
      </c>
      <c r="K43" s="5">
        <v>34000</v>
      </c>
      <c r="L43" s="5">
        <v>34000</v>
      </c>
      <c r="M43" s="5">
        <v>28000</v>
      </c>
      <c r="N43" s="5">
        <v>28000</v>
      </c>
      <c r="O43" s="5">
        <v>20000</v>
      </c>
      <c r="P43" s="5">
        <v>20000</v>
      </c>
    </row>
    <row r="44" spans="1:17" x14ac:dyDescent="0.3">
      <c r="E44" t="s">
        <v>51</v>
      </c>
      <c r="F44" s="7"/>
      <c r="G44" s="5">
        <v>20000</v>
      </c>
      <c r="H44" s="5">
        <v>20000</v>
      </c>
      <c r="I44" s="5">
        <v>0</v>
      </c>
      <c r="J44" s="11">
        <v>22884</v>
      </c>
      <c r="K44" s="11">
        <v>30000</v>
      </c>
      <c r="L44" s="11">
        <v>30000</v>
      </c>
      <c r="M44" s="11">
        <v>30000</v>
      </c>
      <c r="N44" s="11">
        <v>30000</v>
      </c>
      <c r="O44" s="11">
        <v>30000</v>
      </c>
      <c r="P44" s="11">
        <v>30000</v>
      </c>
    </row>
    <row r="45" spans="1:17" x14ac:dyDescent="0.3">
      <c r="D45" s="4"/>
      <c r="E45" t="s">
        <v>52</v>
      </c>
      <c r="F45" s="7"/>
      <c r="G45" s="5">
        <v>30000</v>
      </c>
      <c r="H45" s="5">
        <v>30000</v>
      </c>
      <c r="I45" s="5">
        <v>30000</v>
      </c>
      <c r="J45" s="5">
        <v>32371</v>
      </c>
      <c r="K45" s="5">
        <v>45000</v>
      </c>
      <c r="L45" s="5">
        <v>45000</v>
      </c>
      <c r="M45" s="5">
        <v>45000</v>
      </c>
      <c r="N45" s="5">
        <v>45000</v>
      </c>
      <c r="O45" s="5">
        <v>45000</v>
      </c>
      <c r="P45" s="5">
        <v>45000</v>
      </c>
    </row>
    <row r="46" spans="1:17" x14ac:dyDescent="0.3">
      <c r="E46" t="s">
        <v>53</v>
      </c>
      <c r="F46" s="7"/>
      <c r="G46" s="5">
        <v>45524</v>
      </c>
      <c r="H46" s="5">
        <v>75000</v>
      </c>
      <c r="I46" s="5">
        <v>45524</v>
      </c>
      <c r="J46" s="5">
        <v>68053</v>
      </c>
      <c r="K46" s="5">
        <v>92000</v>
      </c>
      <c r="L46" s="5">
        <v>92000</v>
      </c>
      <c r="M46" s="5">
        <v>92000</v>
      </c>
      <c r="N46" s="5">
        <v>92000</v>
      </c>
      <c r="O46" s="5">
        <v>92000</v>
      </c>
      <c r="P46" s="5">
        <v>98500</v>
      </c>
    </row>
    <row r="47" spans="1:17" x14ac:dyDescent="0.3">
      <c r="E47" t="s">
        <v>48</v>
      </c>
      <c r="F47" s="7"/>
      <c r="G47" s="5">
        <v>7500</v>
      </c>
      <c r="H47" s="5">
        <v>7500</v>
      </c>
      <c r="I47" s="5">
        <v>0</v>
      </c>
      <c r="J47" s="11">
        <v>5000</v>
      </c>
      <c r="K47" s="11">
        <v>17500</v>
      </c>
      <c r="L47" s="11">
        <v>7500</v>
      </c>
      <c r="M47" s="11">
        <v>10000</v>
      </c>
      <c r="N47" s="11">
        <v>10000</v>
      </c>
      <c r="O47" s="11">
        <v>20000</v>
      </c>
      <c r="P47" s="11">
        <v>20000</v>
      </c>
    </row>
    <row r="48" spans="1:17" s="24" customFormat="1" x14ac:dyDescent="0.3">
      <c r="E48" s="24" t="s">
        <v>133</v>
      </c>
      <c r="F48" s="7"/>
      <c r="G48" s="5"/>
      <c r="H48" s="5"/>
      <c r="I48" s="5"/>
      <c r="J48" s="11"/>
      <c r="K48" s="11"/>
      <c r="L48" s="5"/>
      <c r="M48" s="5"/>
      <c r="N48" s="5"/>
      <c r="O48" s="5"/>
      <c r="P48" s="5">
        <v>25000</v>
      </c>
    </row>
    <row r="49" spans="1:16" s="24" customFormat="1" x14ac:dyDescent="0.3">
      <c r="E49" s="24" t="s">
        <v>110</v>
      </c>
      <c r="F49" s="7"/>
      <c r="G49" s="5"/>
      <c r="H49" s="5"/>
      <c r="I49" s="5"/>
      <c r="J49" s="11"/>
      <c r="K49" s="11"/>
      <c r="L49" s="11">
        <v>185000</v>
      </c>
      <c r="M49" s="11">
        <v>0</v>
      </c>
      <c r="N49" s="11">
        <v>0</v>
      </c>
      <c r="O49" s="11">
        <v>0</v>
      </c>
      <c r="P49" s="11">
        <v>0</v>
      </c>
    </row>
    <row r="50" spans="1:16" s="24" customFormat="1" x14ac:dyDescent="0.3">
      <c r="E50" s="24" t="s">
        <v>106</v>
      </c>
      <c r="F50" s="7"/>
      <c r="G50" s="5"/>
      <c r="H50" s="5"/>
      <c r="I50" s="5"/>
      <c r="J50" s="11">
        <v>5000</v>
      </c>
      <c r="K50" s="11">
        <v>3500</v>
      </c>
      <c r="L50" s="11"/>
      <c r="M50" s="11">
        <v>3500</v>
      </c>
      <c r="N50" s="11">
        <v>3500</v>
      </c>
      <c r="O50" s="11">
        <v>8500</v>
      </c>
      <c r="P50" s="11">
        <v>0</v>
      </c>
    </row>
    <row r="51" spans="1:16" x14ac:dyDescent="0.3">
      <c r="E51" t="s">
        <v>22</v>
      </c>
      <c r="F51" s="7"/>
      <c r="G51" s="5">
        <v>2500</v>
      </c>
      <c r="H51" s="5">
        <v>5000</v>
      </c>
      <c r="I51" s="5">
        <v>7000</v>
      </c>
      <c r="J51" s="11">
        <v>4275</v>
      </c>
      <c r="K51" s="11">
        <v>5000</v>
      </c>
      <c r="L51" s="11"/>
      <c r="M51" s="11">
        <v>3500</v>
      </c>
      <c r="N51" s="11">
        <v>3500</v>
      </c>
      <c r="O51" s="11">
        <v>3500</v>
      </c>
      <c r="P51" s="11">
        <v>0</v>
      </c>
    </row>
    <row r="52" spans="1:16" x14ac:dyDescent="0.3">
      <c r="E52" t="s">
        <v>26</v>
      </c>
      <c r="F52" s="7"/>
      <c r="G52" s="5"/>
      <c r="H52" s="5"/>
      <c r="I52" s="5"/>
      <c r="J52" s="11">
        <v>30426</v>
      </c>
      <c r="K52" s="11">
        <v>25000</v>
      </c>
      <c r="L52" s="11">
        <v>25000</v>
      </c>
      <c r="M52" s="11">
        <v>25000</v>
      </c>
      <c r="N52" s="11">
        <v>25000</v>
      </c>
      <c r="O52" s="11">
        <v>25000</v>
      </c>
      <c r="P52" s="11">
        <v>25000</v>
      </c>
    </row>
    <row r="53" spans="1:16" s="24" customFormat="1" x14ac:dyDescent="0.3">
      <c r="E53" s="24" t="s">
        <v>104</v>
      </c>
      <c r="F53" s="7"/>
      <c r="G53" s="5"/>
      <c r="H53" s="5"/>
      <c r="I53" s="5"/>
      <c r="J53" s="11"/>
      <c r="K53" s="11">
        <v>5900</v>
      </c>
      <c r="L53" s="11"/>
      <c r="M53" s="11">
        <v>1000</v>
      </c>
      <c r="N53" s="11"/>
      <c r="O53" s="11">
        <v>1500</v>
      </c>
      <c r="P53" s="11"/>
    </row>
    <row r="54" spans="1:16" x14ac:dyDescent="0.3">
      <c r="E54" t="s">
        <v>54</v>
      </c>
      <c r="F54" s="7"/>
      <c r="G54" s="5">
        <v>2000</v>
      </c>
      <c r="H54" s="5">
        <v>5000</v>
      </c>
      <c r="I54" s="5">
        <v>5000</v>
      </c>
      <c r="J54" s="11">
        <v>1619</v>
      </c>
      <c r="K54" s="11">
        <v>4547</v>
      </c>
      <c r="L54" s="11">
        <v>0</v>
      </c>
      <c r="M54" s="11">
        <v>4250</v>
      </c>
      <c r="N54" s="11">
        <v>0</v>
      </c>
      <c r="O54" s="11">
        <v>0</v>
      </c>
      <c r="P54" s="11">
        <v>0</v>
      </c>
    </row>
    <row r="55" spans="1:16" ht="17.399999999999999" x14ac:dyDescent="0.45">
      <c r="F55" s="7" t="s">
        <v>8</v>
      </c>
      <c r="G55" s="9">
        <f t="shared" ref="G55:P55" si="1">SUM(G41:G54)</f>
        <v>174224</v>
      </c>
      <c r="H55" s="9">
        <f t="shared" si="1"/>
        <v>209200</v>
      </c>
      <c r="I55" s="9">
        <f t="shared" si="1"/>
        <v>154224</v>
      </c>
      <c r="J55" s="9">
        <f t="shared" si="1"/>
        <v>301179</v>
      </c>
      <c r="K55" s="9">
        <f t="shared" si="1"/>
        <v>335447</v>
      </c>
      <c r="L55" s="9">
        <f t="shared" si="1"/>
        <v>491500</v>
      </c>
      <c r="M55" s="9">
        <f t="shared" si="1"/>
        <v>315250</v>
      </c>
      <c r="N55" s="9">
        <f t="shared" si="1"/>
        <v>310000</v>
      </c>
      <c r="O55" s="9">
        <f t="shared" si="1"/>
        <v>376800</v>
      </c>
      <c r="P55" s="9">
        <f t="shared" si="1"/>
        <v>336500</v>
      </c>
    </row>
    <row r="56" spans="1:16" x14ac:dyDescent="0.3">
      <c r="A56" s="4" t="s">
        <v>29</v>
      </c>
      <c r="C56" s="4" t="s">
        <v>28</v>
      </c>
      <c r="F56" s="4"/>
      <c r="G56" s="13"/>
      <c r="H56" s="13"/>
      <c r="I56" s="13"/>
      <c r="J56" s="13"/>
      <c r="K56" s="29">
        <f>+(K55-J55)/J55</f>
        <v>0.11377951317986978</v>
      </c>
      <c r="L56" s="29">
        <f>+(L55-J55)/J55</f>
        <v>0.63191988817281419</v>
      </c>
      <c r="M56" s="29">
        <f>+(M55-K55)/K55</f>
        <v>-6.0209213377970291E-2</v>
      </c>
      <c r="N56" s="29">
        <f>+(N55-M55)/M55</f>
        <v>-1.6653449643140365E-2</v>
      </c>
      <c r="O56" s="29">
        <f>+(O55-M55)/M55</f>
        <v>0.19524187153053132</v>
      </c>
      <c r="P56" s="29">
        <f>+(P55-N55)/N55</f>
        <v>8.5483870967741932E-2</v>
      </c>
    </row>
    <row r="57" spans="1:16" x14ac:dyDescent="0.3">
      <c r="E57" t="s">
        <v>46</v>
      </c>
      <c r="G57" s="5">
        <v>17785</v>
      </c>
      <c r="H57" s="5">
        <v>54000</v>
      </c>
      <c r="I57" s="5">
        <f>32045+3714+180+907</f>
        <v>36846</v>
      </c>
      <c r="J57" s="5">
        <f>2019630-1938681-7128</f>
        <v>73821</v>
      </c>
      <c r="K57" s="11">
        <f>58980+7500-30093</f>
        <v>36387</v>
      </c>
      <c r="L57" s="11">
        <v>40000</v>
      </c>
      <c r="M57" s="11">
        <f>36208-M51-M47+12500</f>
        <v>35208</v>
      </c>
      <c r="N57" s="11">
        <v>40000</v>
      </c>
      <c r="O57" s="11">
        <v>59106</v>
      </c>
      <c r="P57" s="11">
        <v>40000</v>
      </c>
    </row>
    <row r="58" spans="1:16" s="24" customFormat="1" x14ac:dyDescent="0.3">
      <c r="E58" s="24" t="s">
        <v>126</v>
      </c>
      <c r="G58" s="5"/>
      <c r="H58" s="5"/>
      <c r="I58" s="5"/>
      <c r="J58" s="5"/>
      <c r="K58" s="11"/>
      <c r="L58" s="11"/>
      <c r="M58" s="11"/>
      <c r="N58" s="11">
        <v>0</v>
      </c>
      <c r="O58" s="11">
        <v>93950</v>
      </c>
      <c r="P58" s="11">
        <v>0</v>
      </c>
    </row>
    <row r="59" spans="1:16" x14ac:dyDescent="0.3">
      <c r="E59" t="s">
        <v>10</v>
      </c>
      <c r="G59" s="5">
        <v>40243</v>
      </c>
      <c r="H59" s="5">
        <v>45000</v>
      </c>
      <c r="I59" s="5">
        <v>40000</v>
      </c>
      <c r="J59" s="11">
        <v>60784</v>
      </c>
      <c r="K59" s="11">
        <f>77781-K60</f>
        <v>72214</v>
      </c>
      <c r="L59" s="11">
        <v>75000</v>
      </c>
      <c r="M59" s="11">
        <v>76658</v>
      </c>
      <c r="N59" s="11">
        <v>77500</v>
      </c>
      <c r="O59" s="11">
        <v>66700</v>
      </c>
      <c r="P59" s="11">
        <v>77500</v>
      </c>
    </row>
    <row r="60" spans="1:16" ht="18" x14ac:dyDescent="0.35">
      <c r="A60" s="15"/>
      <c r="E60" t="s">
        <v>12</v>
      </c>
      <c r="G60" s="5">
        <f>4240+4330</f>
        <v>8570</v>
      </c>
      <c r="H60" s="5">
        <v>36000</v>
      </c>
      <c r="I60" s="5">
        <f>6607+6814</f>
        <v>13421</v>
      </c>
      <c r="J60" s="11">
        <f>70139-J59</f>
        <v>9355</v>
      </c>
      <c r="K60" s="11">
        <v>5567</v>
      </c>
      <c r="L60" s="11">
        <v>16800</v>
      </c>
      <c r="M60" s="11">
        <v>16800</v>
      </c>
      <c r="N60" s="11">
        <v>18000</v>
      </c>
      <c r="O60" s="11">
        <v>16000</v>
      </c>
      <c r="P60" s="11">
        <v>18000</v>
      </c>
    </row>
    <row r="61" spans="1:16" s="24" customFormat="1" x14ac:dyDescent="0.3">
      <c r="E61" s="24" t="s">
        <v>47</v>
      </c>
      <c r="G61" s="5">
        <v>13238</v>
      </c>
      <c r="H61" s="5">
        <v>45000</v>
      </c>
      <c r="I61" s="5">
        <f>1740+12424</f>
        <v>14164</v>
      </c>
      <c r="J61" s="11">
        <f>17858+15046</f>
        <v>32904</v>
      </c>
      <c r="K61" s="11">
        <f>35183+19857-7500</f>
        <v>47540</v>
      </c>
      <c r="L61" s="11">
        <v>63000</v>
      </c>
      <c r="M61" s="11">
        <f>81582+37659-12500</f>
        <v>106741</v>
      </c>
      <c r="N61" s="11">
        <v>110000</v>
      </c>
      <c r="O61" s="11">
        <v>171918</v>
      </c>
      <c r="P61" s="11">
        <v>110000</v>
      </c>
    </row>
    <row r="62" spans="1:16" s="24" customFormat="1" x14ac:dyDescent="0.3">
      <c r="E62" s="24" t="s">
        <v>125</v>
      </c>
      <c r="G62" s="5"/>
      <c r="H62" s="5"/>
      <c r="I62" s="5"/>
      <c r="J62" s="11"/>
      <c r="K62" s="11"/>
      <c r="L62" s="11"/>
      <c r="M62" s="11"/>
      <c r="N62" s="11">
        <v>0</v>
      </c>
      <c r="O62" s="11">
        <v>92270</v>
      </c>
      <c r="P62" s="11">
        <v>50000</v>
      </c>
    </row>
    <row r="63" spans="1:16" s="24" customFormat="1" x14ac:dyDescent="0.3">
      <c r="E63" s="24" t="s">
        <v>108</v>
      </c>
      <c r="G63" s="5"/>
      <c r="H63" s="5"/>
      <c r="I63" s="5"/>
      <c r="J63" s="11"/>
      <c r="K63" s="11">
        <v>222390</v>
      </c>
      <c r="L63" s="11">
        <v>0</v>
      </c>
      <c r="M63" s="11">
        <v>222390</v>
      </c>
      <c r="N63" s="11">
        <v>0</v>
      </c>
      <c r="O63" s="11">
        <v>0</v>
      </c>
      <c r="P63" s="11">
        <v>0</v>
      </c>
    </row>
    <row r="64" spans="1:16" ht="17.399999999999999" x14ac:dyDescent="0.45">
      <c r="F64" s="7" t="s">
        <v>8</v>
      </c>
      <c r="G64" s="14">
        <f t="shared" ref="G64:P64" si="2">SUM(G57:G63)</f>
        <v>79836</v>
      </c>
      <c r="H64" s="14">
        <f t="shared" si="2"/>
        <v>180000</v>
      </c>
      <c r="I64" s="14">
        <f t="shared" si="2"/>
        <v>104431</v>
      </c>
      <c r="J64" s="14">
        <f t="shared" si="2"/>
        <v>176864</v>
      </c>
      <c r="K64" s="14">
        <f t="shared" si="2"/>
        <v>384098</v>
      </c>
      <c r="L64" s="14">
        <f t="shared" si="2"/>
        <v>194800</v>
      </c>
      <c r="M64" s="14">
        <f t="shared" si="2"/>
        <v>457797</v>
      </c>
      <c r="N64" s="14">
        <f t="shared" si="2"/>
        <v>245500</v>
      </c>
      <c r="O64" s="14">
        <f t="shared" si="2"/>
        <v>499944</v>
      </c>
      <c r="P64" s="14">
        <f t="shared" si="2"/>
        <v>295500</v>
      </c>
    </row>
    <row r="65" spans="1:17" ht="17.399999999999999" x14ac:dyDescent="0.45">
      <c r="A65" s="4" t="s">
        <v>11</v>
      </c>
      <c r="D65" s="4"/>
      <c r="F65" s="4"/>
      <c r="G65" s="9"/>
      <c r="H65" s="9"/>
      <c r="I65" s="9"/>
      <c r="J65" s="9">
        <f t="shared" ref="J65:P65" si="3">+J64+J55+J39+J22</f>
        <v>1848877</v>
      </c>
      <c r="K65" s="9">
        <f t="shared" si="3"/>
        <v>1819257</v>
      </c>
      <c r="L65" s="9">
        <f t="shared" si="3"/>
        <v>2137047</v>
      </c>
      <c r="M65" s="9">
        <f t="shared" si="3"/>
        <v>2831310</v>
      </c>
      <c r="N65" s="9">
        <f t="shared" si="3"/>
        <v>3328324</v>
      </c>
      <c r="O65" s="9">
        <f t="shared" si="3"/>
        <v>4274656</v>
      </c>
      <c r="P65" s="9">
        <f t="shared" si="3"/>
        <v>5325575</v>
      </c>
    </row>
    <row r="66" spans="1:17" x14ac:dyDescent="0.3">
      <c r="K66" s="29">
        <f>+(K65-J65)/J65</f>
        <v>-1.6020535708973608E-2</v>
      </c>
      <c r="L66" s="29">
        <f>+(L65-J65)/J65</f>
        <v>0.15586218012339381</v>
      </c>
      <c r="M66" s="29">
        <f>+(M65-K65)/K65</f>
        <v>0.5563001818874409</v>
      </c>
      <c r="N66" s="29">
        <f>+(N65-M65)/M65</f>
        <v>0.17554206356774779</v>
      </c>
      <c r="O66" s="29">
        <f>+(O65-M65)/M65</f>
        <v>0.50978027838703643</v>
      </c>
      <c r="P66" s="29">
        <f>+(P65-N65)/N65</f>
        <v>0.60007709585965785</v>
      </c>
    </row>
    <row r="68" spans="1:17" x14ac:dyDescent="0.3">
      <c r="A68" s="22" t="s">
        <v>56</v>
      </c>
      <c r="B68" s="24"/>
      <c r="C68" s="24"/>
      <c r="D68" s="24"/>
      <c r="E68" s="6"/>
      <c r="F68" s="24"/>
      <c r="G68" s="24"/>
      <c r="H68" s="24"/>
      <c r="I68" s="24"/>
    </row>
    <row r="69" spans="1:17" x14ac:dyDescent="0.3">
      <c r="A69" s="24"/>
      <c r="B69" s="24"/>
      <c r="C69" s="24"/>
      <c r="D69" s="24"/>
      <c r="E69" s="24" t="s">
        <v>57</v>
      </c>
      <c r="F69" s="24"/>
      <c r="G69" s="24"/>
      <c r="H69" s="24"/>
      <c r="I69" s="24"/>
      <c r="J69" s="26">
        <v>303259</v>
      </c>
      <c r="K69" s="26">
        <v>232130</v>
      </c>
      <c r="L69" s="26">
        <v>376373</v>
      </c>
      <c r="M69" s="26">
        <v>350091</v>
      </c>
      <c r="N69" s="26">
        <f>+[1]Sheet1!$N60</f>
        <v>441162.68025825481</v>
      </c>
      <c r="O69" s="26">
        <f>+Q69*O$95</f>
        <v>542668.13202922582</v>
      </c>
      <c r="P69" s="26">
        <f>+Q69*P$95</f>
        <v>676082.43499162165</v>
      </c>
      <c r="Q69" s="28">
        <f>+M69/M$76</f>
        <v>0.12865572078822674</v>
      </c>
    </row>
    <row r="70" spans="1:17" x14ac:dyDescent="0.3">
      <c r="A70" s="24"/>
      <c r="B70" s="24"/>
      <c r="C70" s="24"/>
      <c r="D70" s="24"/>
      <c r="E70" s="24" t="s">
        <v>58</v>
      </c>
      <c r="F70" s="24"/>
      <c r="G70" s="24"/>
      <c r="H70" s="24"/>
      <c r="I70" s="24"/>
      <c r="J70" s="26">
        <v>516768</v>
      </c>
      <c r="K70" s="26">
        <v>320201</v>
      </c>
      <c r="L70" s="26">
        <v>688688</v>
      </c>
      <c r="M70" s="26">
        <v>759099</v>
      </c>
      <c r="N70" s="26">
        <f>+[1]Sheet1!$N61</f>
        <v>560686.18375726754</v>
      </c>
      <c r="O70" s="26">
        <f t="shared" ref="O70:O75" si="4">+Q70*O$95</f>
        <v>1176662.1717075084</v>
      </c>
      <c r="P70" s="26">
        <f t="shared" ref="P70:P75" si="5">+Q70*P$95</f>
        <v>1465943.1414109617</v>
      </c>
      <c r="Q70" s="28">
        <f t="shared" ref="Q70:Q75" si="6">+M70/M$76</f>
        <v>0.27896298103813616</v>
      </c>
    </row>
    <row r="71" spans="1:17" x14ac:dyDescent="0.3">
      <c r="A71" s="24"/>
      <c r="B71" s="24"/>
      <c r="C71" s="24"/>
      <c r="D71" s="24"/>
      <c r="E71" s="24" t="s">
        <v>59</v>
      </c>
      <c r="F71" s="24"/>
      <c r="G71" s="24"/>
      <c r="H71" s="24"/>
      <c r="I71" s="24"/>
      <c r="J71" s="26">
        <v>114180</v>
      </c>
      <c r="K71" s="26">
        <v>126518</v>
      </c>
      <c r="L71" s="26">
        <v>171789</v>
      </c>
      <c r="M71" s="26">
        <v>105841</v>
      </c>
      <c r="N71" s="26">
        <f>+[1]Sheet1!$N62</f>
        <v>226012.11668463127</v>
      </c>
      <c r="O71" s="26">
        <f t="shared" si="4"/>
        <v>164061.73755425101</v>
      </c>
      <c r="P71" s="26">
        <f t="shared" si="5"/>
        <v>204396.11701514243</v>
      </c>
      <c r="Q71" s="28">
        <f t="shared" si="6"/>
        <v>3.889574466052171E-2</v>
      </c>
    </row>
    <row r="72" spans="1:17" x14ac:dyDescent="0.3">
      <c r="A72" s="24"/>
      <c r="B72" s="24"/>
      <c r="C72" s="24"/>
      <c r="D72" s="24"/>
      <c r="E72" s="24" t="s">
        <v>60</v>
      </c>
      <c r="F72" s="24"/>
      <c r="G72" s="24"/>
      <c r="H72" s="24"/>
      <c r="I72" s="24"/>
      <c r="J72" s="26">
        <f>530315+165241</f>
        <v>695556</v>
      </c>
      <c r="K72" s="26">
        <f>414269+176076</f>
        <v>590345</v>
      </c>
      <c r="L72" s="26">
        <v>489602</v>
      </c>
      <c r="M72" s="26">
        <f>540221+318057</f>
        <v>858278</v>
      </c>
      <c r="N72" s="26">
        <f>+[1]Sheet1!$N63</f>
        <v>1007820.5479021639</v>
      </c>
      <c r="O72" s="26">
        <f t="shared" si="4"/>
        <v>1330397.2939086691</v>
      </c>
      <c r="P72" s="26">
        <f t="shared" si="5"/>
        <v>1657473.8571963832</v>
      </c>
      <c r="Q72" s="28">
        <f t="shared" si="6"/>
        <v>0.31541049249103137</v>
      </c>
    </row>
    <row r="73" spans="1:17" x14ac:dyDescent="0.3">
      <c r="A73" s="24"/>
      <c r="B73" s="24"/>
      <c r="C73" s="22"/>
      <c r="D73" s="24"/>
      <c r="E73" s="24" t="s">
        <v>61</v>
      </c>
      <c r="F73" s="24"/>
      <c r="G73" s="24"/>
      <c r="H73" s="24"/>
      <c r="I73" s="24"/>
      <c r="J73" s="26">
        <v>169132</v>
      </c>
      <c r="K73" s="26">
        <v>597360</v>
      </c>
      <c r="L73" s="26">
        <v>124648</v>
      </c>
      <c r="M73" s="26">
        <v>281469</v>
      </c>
      <c r="N73" s="26">
        <f>+[1]Sheet1!$N64</f>
        <v>658352.90549949906</v>
      </c>
      <c r="O73" s="26">
        <f t="shared" si="4"/>
        <v>436298.7236293825</v>
      </c>
      <c r="P73" s="26">
        <f t="shared" si="5"/>
        <v>543562.23637470475</v>
      </c>
      <c r="Q73" s="28">
        <f t="shared" si="6"/>
        <v>0.10343766927610647</v>
      </c>
    </row>
    <row r="74" spans="1:17" x14ac:dyDescent="0.3">
      <c r="A74" s="24"/>
      <c r="B74" s="24"/>
      <c r="C74" s="22"/>
      <c r="D74" s="24"/>
      <c r="E74" s="24" t="s">
        <v>62</v>
      </c>
      <c r="F74" s="24"/>
      <c r="G74" s="24"/>
      <c r="H74" s="24"/>
      <c r="I74" s="24"/>
      <c r="J74" s="26">
        <v>100528</v>
      </c>
      <c r="K74" s="26">
        <v>128608</v>
      </c>
      <c r="L74" s="26">
        <v>112560</v>
      </c>
      <c r="M74" s="26">
        <v>184555</v>
      </c>
      <c r="N74" s="26">
        <f>+[1]Sheet1!$N65</f>
        <v>199402.73921942062</v>
      </c>
      <c r="O74" s="26">
        <f t="shared" si="4"/>
        <v>286074.52664208383</v>
      </c>
      <c r="P74" s="26">
        <f t="shared" si="5"/>
        <v>356405.60251442832</v>
      </c>
      <c r="Q74" s="28">
        <f t="shared" si="6"/>
        <v>6.7822527714426206E-2</v>
      </c>
    </row>
    <row r="75" spans="1:17" x14ac:dyDescent="0.3">
      <c r="A75" s="24"/>
      <c r="B75" s="24"/>
      <c r="C75" s="22"/>
      <c r="D75" s="24"/>
      <c r="E75" s="24" t="s">
        <v>63</v>
      </c>
      <c r="F75" s="24"/>
      <c r="G75" s="24"/>
      <c r="H75" s="24"/>
      <c r="I75" s="24"/>
      <c r="J75" s="26">
        <v>113618</v>
      </c>
      <c r="K75" s="26">
        <v>98171</v>
      </c>
      <c r="L75" s="26">
        <v>100377</v>
      </c>
      <c r="M75" s="26">
        <v>181813</v>
      </c>
      <c r="N75" s="26">
        <f>+[1]Sheet1!$N66</f>
        <v>152211.10904383665</v>
      </c>
      <c r="O75" s="26">
        <f t="shared" si="4"/>
        <v>281824.21452887857</v>
      </c>
      <c r="P75" s="26">
        <f t="shared" si="5"/>
        <v>351110.35631630546</v>
      </c>
      <c r="Q75" s="28">
        <f t="shared" si="6"/>
        <v>6.6814864031551416E-2</v>
      </c>
    </row>
    <row r="76" spans="1:17" ht="16.2" thickBot="1" x14ac:dyDescent="0.35">
      <c r="A76" s="24"/>
      <c r="B76" s="24"/>
      <c r="C76" s="22" t="s">
        <v>8</v>
      </c>
      <c r="D76" s="24"/>
      <c r="E76" s="24"/>
      <c r="F76" s="24"/>
      <c r="G76" s="24"/>
      <c r="H76" s="24"/>
      <c r="I76" s="24"/>
      <c r="J76" s="27">
        <f t="shared" ref="J76:P76" si="7">SUM(J69:J75)</f>
        <v>2013041</v>
      </c>
      <c r="K76" s="27">
        <f t="shared" si="7"/>
        <v>2093333</v>
      </c>
      <c r="L76" s="27">
        <f t="shared" si="7"/>
        <v>2064037</v>
      </c>
      <c r="M76" s="27">
        <f t="shared" si="7"/>
        <v>2721146</v>
      </c>
      <c r="N76" s="27">
        <f t="shared" si="7"/>
        <v>3245648.2823650734</v>
      </c>
      <c r="O76" s="27">
        <f t="shared" si="7"/>
        <v>4217986.7999999989</v>
      </c>
      <c r="P76" s="27">
        <f t="shared" si="7"/>
        <v>5254973.7458195472</v>
      </c>
    </row>
    <row r="77" spans="1:17" x14ac:dyDescent="0.3">
      <c r="A77" s="24"/>
      <c r="B77" s="24"/>
      <c r="C77" s="24"/>
      <c r="D77" s="24"/>
      <c r="E77" s="24"/>
      <c r="F77" s="24"/>
      <c r="G77" s="24"/>
      <c r="H77" s="24"/>
      <c r="I77" s="24"/>
    </row>
    <row r="78" spans="1:17" x14ac:dyDescent="0.3">
      <c r="A78" s="22" t="s">
        <v>64</v>
      </c>
      <c r="B78" s="24"/>
      <c r="C78" s="24"/>
      <c r="D78" s="24"/>
      <c r="E78" s="24"/>
      <c r="F78" s="24"/>
      <c r="G78" s="24"/>
      <c r="H78" s="24"/>
      <c r="I78" s="24"/>
    </row>
    <row r="79" spans="1:17" x14ac:dyDescent="0.3">
      <c r="A79" s="23" t="s">
        <v>65</v>
      </c>
      <c r="B79" s="24"/>
      <c r="C79" s="24"/>
      <c r="D79" s="24"/>
      <c r="E79" s="24"/>
      <c r="F79" s="24"/>
      <c r="G79" s="24"/>
      <c r="H79" s="24"/>
      <c r="I79" s="24"/>
      <c r="J79" s="26">
        <v>1088723</v>
      </c>
      <c r="K79" s="26">
        <v>1173488</v>
      </c>
      <c r="L79" s="26">
        <v>1281829</v>
      </c>
      <c r="M79" s="26">
        <v>1690438</v>
      </c>
      <c r="N79" s="26">
        <f>+[1]Sheet1!$N70</f>
        <v>2050234.8454545455</v>
      </c>
      <c r="O79" s="26">
        <f>2148710/10*12</f>
        <v>2578452</v>
      </c>
      <c r="P79" s="26">
        <f>+O79/O$65*P$65</f>
        <v>3212361.3010965092</v>
      </c>
    </row>
    <row r="80" spans="1:17" x14ac:dyDescent="0.3">
      <c r="A80" s="23" t="s">
        <v>66</v>
      </c>
      <c r="B80" s="24"/>
      <c r="C80" s="24"/>
      <c r="D80" s="24"/>
      <c r="E80" s="24"/>
      <c r="F80" s="24"/>
      <c r="G80" s="24"/>
      <c r="H80" s="24"/>
      <c r="I80" s="24"/>
      <c r="J80" s="26">
        <f>1232860-J79</f>
        <v>144137</v>
      </c>
      <c r="K80" s="26">
        <f>1332924-K79</f>
        <v>159436</v>
      </c>
      <c r="L80" s="26">
        <v>167883</v>
      </c>
      <c r="M80" s="26">
        <f>56459+25110+135858</f>
        <v>217427</v>
      </c>
      <c r="N80" s="26">
        <f>+[1]Sheet1!$N71</f>
        <v>262501.61363636365</v>
      </c>
      <c r="O80" s="26">
        <f>267354/10*12</f>
        <v>320824.80000000005</v>
      </c>
      <c r="P80" s="26">
        <f>+O80/O$65*P$65</f>
        <v>399699.18848674616</v>
      </c>
    </row>
    <row r="81" spans="1:16" x14ac:dyDescent="0.3">
      <c r="A81" s="23" t="s">
        <v>67</v>
      </c>
      <c r="B81" s="24"/>
      <c r="C81" s="23"/>
      <c r="D81" s="24"/>
      <c r="E81" s="24"/>
      <c r="F81" s="24"/>
      <c r="G81" s="24"/>
      <c r="H81" s="24"/>
      <c r="I81" s="24"/>
      <c r="J81" s="26">
        <v>28195</v>
      </c>
      <c r="K81" s="26">
        <v>11879</v>
      </c>
      <c r="L81" s="26">
        <v>17793</v>
      </c>
      <c r="M81" s="26">
        <v>10804</v>
      </c>
      <c r="N81" s="26">
        <f>+[1]Sheet1!$N72</f>
        <v>13856.454545454546</v>
      </c>
      <c r="O81" s="26">
        <f>1097.9*12</f>
        <v>13174.800000000001</v>
      </c>
      <c r="P81" s="26">
        <f t="shared" ref="P81:P90" si="8">+O81/O$65*P$65</f>
        <v>16413.808622261069</v>
      </c>
    </row>
    <row r="82" spans="1:16" x14ac:dyDescent="0.3">
      <c r="A82" s="23" t="s">
        <v>68</v>
      </c>
      <c r="B82" s="24"/>
      <c r="C82" s="23"/>
      <c r="D82" s="24"/>
      <c r="E82" s="24"/>
      <c r="F82" s="24"/>
      <c r="G82" s="24"/>
      <c r="H82" s="24"/>
      <c r="I82" s="24"/>
      <c r="J82" s="26">
        <f>5580+9023</f>
        <v>14603</v>
      </c>
      <c r="K82" s="26">
        <f>5884+8517</f>
        <v>14401</v>
      </c>
      <c r="L82" s="26">
        <v>13995</v>
      </c>
      <c r="M82" s="26">
        <f>6464+13481</f>
        <v>19945</v>
      </c>
      <c r="N82" s="26">
        <f>+[1]Sheet1!$N73</f>
        <v>21752.563636363637</v>
      </c>
      <c r="O82" s="26">
        <f>+(5688+11345)/10*12</f>
        <v>20439.599999999999</v>
      </c>
      <c r="P82" s="26">
        <f t="shared" si="8"/>
        <v>25464.65090290306</v>
      </c>
    </row>
    <row r="83" spans="1:16" x14ac:dyDescent="0.3">
      <c r="A83" s="23" t="s">
        <v>99</v>
      </c>
      <c r="B83" s="24"/>
      <c r="C83" s="23"/>
      <c r="D83" s="24"/>
      <c r="E83" s="24"/>
      <c r="F83" s="24"/>
      <c r="G83" s="24"/>
      <c r="H83" s="24"/>
      <c r="I83" s="24"/>
      <c r="J83" s="26">
        <f>30305+39962</f>
        <v>70267</v>
      </c>
      <c r="K83" s="26">
        <f>20297+64477</f>
        <v>84774</v>
      </c>
      <c r="L83" s="26">
        <v>59960</v>
      </c>
      <c r="M83" s="26">
        <f>29346+44272</f>
        <v>73618</v>
      </c>
      <c r="N83" s="26">
        <f>+[1]Sheet1!$N74</f>
        <v>67027.172727272715</v>
      </c>
      <c r="O83" s="26">
        <f>+(33070+70933)/10*12</f>
        <v>124803.59999999999</v>
      </c>
      <c r="P83" s="26">
        <f t="shared" si="8"/>
        <v>155486.41389388993</v>
      </c>
    </row>
    <row r="84" spans="1:16" s="24" customFormat="1" x14ac:dyDescent="0.3">
      <c r="A84" s="23" t="s">
        <v>102</v>
      </c>
      <c r="C84" s="23"/>
      <c r="J84" s="26">
        <v>4000</v>
      </c>
      <c r="K84" s="26">
        <v>8282</v>
      </c>
      <c r="L84" s="26">
        <v>9110</v>
      </c>
      <c r="M84" s="26">
        <v>12111</v>
      </c>
      <c r="N84" s="26">
        <f>+[1]Sheet1!$N75</f>
        <v>14188.284880959565</v>
      </c>
      <c r="O84" s="26">
        <f>1123.7*12</f>
        <v>13484.400000000001</v>
      </c>
      <c r="P84" s="26">
        <f t="shared" si="8"/>
        <v>16799.523407263649</v>
      </c>
    </row>
    <row r="85" spans="1:16" x14ac:dyDescent="0.3">
      <c r="A85" s="23" t="s">
        <v>69</v>
      </c>
      <c r="B85" s="24"/>
      <c r="C85" s="23"/>
      <c r="D85" s="24"/>
      <c r="E85" s="24"/>
      <c r="F85" s="24"/>
      <c r="G85" s="24"/>
      <c r="H85" s="24"/>
      <c r="I85" s="24"/>
      <c r="J85" s="26">
        <f>77600-J82</f>
        <v>62997</v>
      </c>
      <c r="K85" s="26">
        <f>83191-K82</f>
        <v>68790</v>
      </c>
      <c r="L85" s="26">
        <v>73430</v>
      </c>
      <c r="M85" s="26">
        <v>44835</v>
      </c>
      <c r="N85" s="26">
        <f>+[1]Sheet1!$N76</f>
        <v>74531.45</v>
      </c>
      <c r="O85" s="26">
        <f>66458/10*12</f>
        <v>79749.600000000006</v>
      </c>
      <c r="P85" s="26">
        <f t="shared" si="8"/>
        <v>99355.942564735044</v>
      </c>
    </row>
    <row r="86" spans="1:16" x14ac:dyDescent="0.3">
      <c r="A86" s="23" t="s">
        <v>70</v>
      </c>
      <c r="B86" s="24"/>
      <c r="C86" s="23"/>
      <c r="D86" s="23"/>
      <c r="E86" s="24"/>
      <c r="F86" s="24"/>
      <c r="G86" s="24"/>
      <c r="H86" s="24"/>
      <c r="I86" s="24"/>
      <c r="J86" s="26">
        <v>130978</v>
      </c>
      <c r="K86" s="26">
        <v>134166</v>
      </c>
      <c r="L86" s="26">
        <v>158298</v>
      </c>
      <c r="M86" s="26">
        <v>85036</v>
      </c>
      <c r="N86" s="26">
        <f>+[1]Sheet1!$N77</f>
        <v>88471.663636363621</v>
      </c>
      <c r="O86" s="26">
        <f>44229/10*12</f>
        <v>53074.799999999996</v>
      </c>
      <c r="P86" s="26">
        <f t="shared" si="8"/>
        <v>66123.175294105531</v>
      </c>
    </row>
    <row r="87" spans="1:16" s="24" customFormat="1" x14ac:dyDescent="0.3">
      <c r="A87" s="23" t="s">
        <v>103</v>
      </c>
      <c r="C87" s="23"/>
      <c r="D87" s="23"/>
      <c r="J87" s="26">
        <v>8584</v>
      </c>
      <c r="K87" s="26">
        <v>-11379</v>
      </c>
      <c r="L87" s="26">
        <v>4300</v>
      </c>
      <c r="M87" s="26">
        <v>3947</v>
      </c>
      <c r="N87" s="26">
        <f>+[1]Sheet1!$N78</f>
        <v>4300</v>
      </c>
      <c r="O87" s="26">
        <f>757.5*12</f>
        <v>9090</v>
      </c>
      <c r="P87" s="26">
        <f t="shared" si="8"/>
        <v>11324.765489901411</v>
      </c>
    </row>
    <row r="88" spans="1:16" x14ac:dyDescent="0.3">
      <c r="A88" s="23" t="s">
        <v>71</v>
      </c>
      <c r="B88" s="24"/>
      <c r="C88" s="23"/>
      <c r="D88" s="23"/>
      <c r="E88" s="24"/>
      <c r="F88" s="24"/>
      <c r="G88" s="24"/>
      <c r="H88" s="24"/>
      <c r="I88" s="24"/>
      <c r="J88" s="26">
        <v>48338</v>
      </c>
      <c r="K88" s="26">
        <v>44322</v>
      </c>
      <c r="L88" s="26">
        <v>46355</v>
      </c>
      <c r="M88" s="26">
        <v>61540</v>
      </c>
      <c r="N88" s="26">
        <f>+[1]Sheet1!$N79</f>
        <v>58823.665665932582</v>
      </c>
      <c r="O88" s="26">
        <f>37907/10*12</f>
        <v>45488.399999999994</v>
      </c>
      <c r="P88" s="26">
        <f t="shared" si="8"/>
        <v>56671.668042995734</v>
      </c>
    </row>
    <row r="89" spans="1:16" x14ac:dyDescent="0.3">
      <c r="A89" s="23" t="s">
        <v>72</v>
      </c>
      <c r="B89" s="24"/>
      <c r="C89" s="23"/>
      <c r="D89" s="23"/>
      <c r="E89" s="24"/>
      <c r="F89" s="24"/>
      <c r="G89" s="24"/>
      <c r="H89" s="24"/>
      <c r="I89" s="24"/>
      <c r="J89" s="26">
        <v>7660</v>
      </c>
      <c r="K89" s="26">
        <v>6493</v>
      </c>
      <c r="L89" s="26">
        <v>7000</v>
      </c>
      <c r="M89" s="26">
        <v>1191</v>
      </c>
      <c r="N89" s="26">
        <f>+[1]Sheet1!$N80</f>
        <v>7000</v>
      </c>
      <c r="O89" s="26">
        <v>7708</v>
      </c>
      <c r="P89" s="26">
        <f t="shared" si="8"/>
        <v>9603.0024638239902</v>
      </c>
    </row>
    <row r="90" spans="1:16" x14ac:dyDescent="0.3">
      <c r="A90" s="23" t="s">
        <v>73</v>
      </c>
      <c r="B90" s="24"/>
      <c r="C90" s="23"/>
      <c r="D90" s="23"/>
      <c r="E90" s="24"/>
      <c r="F90" s="24"/>
      <c r="G90" s="24"/>
      <c r="H90" s="24"/>
      <c r="I90" s="24"/>
      <c r="J90" s="26">
        <v>15517</v>
      </c>
      <c r="K90" s="26">
        <v>7483</v>
      </c>
      <c r="L90" s="26">
        <v>7662</v>
      </c>
      <c r="M90" s="26">
        <v>62500</v>
      </c>
      <c r="N90" s="26">
        <f>+[1]Sheet1!$N81</f>
        <v>66441.818181818177</v>
      </c>
      <c r="O90" s="26">
        <f>3219.9*12</f>
        <v>38638.800000000003</v>
      </c>
      <c r="P90" s="26">
        <f t="shared" si="8"/>
        <v>48138.10217945023</v>
      </c>
    </row>
    <row r="91" spans="1:16" x14ac:dyDescent="0.3">
      <c r="A91" s="23" t="s">
        <v>74</v>
      </c>
      <c r="B91" s="24"/>
      <c r="C91" s="23"/>
      <c r="D91" s="23"/>
      <c r="E91" s="24"/>
      <c r="F91" s="24"/>
      <c r="G91" s="24"/>
      <c r="H91" s="24"/>
      <c r="I91" s="24"/>
      <c r="J91" s="26">
        <v>68300</v>
      </c>
      <c r="K91" s="26">
        <v>0</v>
      </c>
      <c r="L91" s="26">
        <v>0</v>
      </c>
      <c r="M91" s="26">
        <f>+K91/K$65*M$65</f>
        <v>0</v>
      </c>
      <c r="N91" s="26">
        <f>+[1]Sheet1!$N82</f>
        <v>0</v>
      </c>
      <c r="O91" s="26">
        <f>+L91/L$65*O$65</f>
        <v>0</v>
      </c>
      <c r="P91" s="26">
        <f>+M91/M$65*P$65</f>
        <v>0</v>
      </c>
    </row>
    <row r="92" spans="1:16" s="24" customFormat="1" x14ac:dyDescent="0.3">
      <c r="A92" s="23" t="s">
        <v>129</v>
      </c>
      <c r="C92" s="23"/>
      <c r="D92" s="23"/>
      <c r="J92" s="26"/>
      <c r="K92" s="26"/>
      <c r="L92" s="26"/>
      <c r="M92" s="26"/>
      <c r="N92" s="26">
        <v>0</v>
      </c>
      <c r="O92" s="26">
        <v>290618</v>
      </c>
      <c r="P92" s="26">
        <f t="shared" ref="P92:P93" si="9">+O92/O$65*P$65</f>
        <v>362066.08329418791</v>
      </c>
    </row>
    <row r="93" spans="1:16" x14ac:dyDescent="0.3">
      <c r="A93" s="23" t="s">
        <v>111</v>
      </c>
      <c r="B93" s="24"/>
      <c r="C93" s="23"/>
      <c r="D93" s="23"/>
      <c r="E93" s="24"/>
      <c r="F93" s="24"/>
      <c r="G93" s="24"/>
      <c r="H93" s="24"/>
      <c r="I93" s="24"/>
      <c r="J93" s="26">
        <f>223560+70524+4004+9384+800+12626-(2017040-2013041)</f>
        <v>316899</v>
      </c>
      <c r="K93" s="26">
        <f>19515+94697+276986</f>
        <v>391198</v>
      </c>
      <c r="L93" s="26">
        <v>203738</v>
      </c>
      <c r="M93" s="26">
        <f>82462+101102+71867+176331</f>
        <v>431762</v>
      </c>
      <c r="N93" s="26">
        <f>+[1]Sheet1!$N$83</f>
        <v>516518.75000000006</v>
      </c>
      <c r="O93" s="26">
        <f>(38065+242505+103237+186763)/11*12</f>
        <v>622440</v>
      </c>
      <c r="P93" s="26">
        <f t="shared" si="9"/>
        <v>775466.12008077384</v>
      </c>
    </row>
    <row r="94" spans="1:16" x14ac:dyDescent="0.3">
      <c r="A94" s="23" t="s">
        <v>75</v>
      </c>
      <c r="B94" s="24"/>
      <c r="C94" s="23"/>
      <c r="D94" s="23"/>
      <c r="E94" s="24"/>
      <c r="F94" s="24"/>
      <c r="G94" s="24"/>
      <c r="H94" s="24"/>
      <c r="I94" s="24"/>
      <c r="J94" s="26">
        <v>3843</v>
      </c>
      <c r="K94" s="26">
        <v>0</v>
      </c>
      <c r="L94" s="26">
        <v>0</v>
      </c>
      <c r="M94" s="26">
        <f>+K94/K$65*M$65</f>
        <v>0</v>
      </c>
      <c r="N94" s="26">
        <f>+K94/K$65*N$65</f>
        <v>0</v>
      </c>
      <c r="O94" s="26">
        <f>+L94/L$65*O$65</f>
        <v>0</v>
      </c>
      <c r="P94" s="26">
        <f>+M94/M$65*P$65</f>
        <v>0</v>
      </c>
    </row>
    <row r="95" spans="1:16" ht="16.2" thickBot="1" x14ac:dyDescent="0.35">
      <c r="A95" s="22" t="s">
        <v>11</v>
      </c>
      <c r="B95" s="24"/>
      <c r="C95" s="23"/>
      <c r="D95" s="23"/>
      <c r="E95" s="23"/>
      <c r="F95" s="24"/>
      <c r="G95" s="24"/>
      <c r="H95" s="24"/>
      <c r="I95" s="24"/>
      <c r="J95" s="27">
        <f t="shared" ref="J95:P95" si="10">SUM(J79:J94)</f>
        <v>2013041</v>
      </c>
      <c r="K95" s="27">
        <f t="shared" si="10"/>
        <v>2093333</v>
      </c>
      <c r="L95" s="27">
        <f t="shared" si="10"/>
        <v>2051353</v>
      </c>
      <c r="M95" s="27">
        <f t="shared" si="10"/>
        <v>2715154</v>
      </c>
      <c r="N95" s="27">
        <f t="shared" si="10"/>
        <v>3245648.2823650739</v>
      </c>
      <c r="O95" s="27">
        <f t="shared" si="10"/>
        <v>4217986.7999999989</v>
      </c>
      <c r="P95" s="27">
        <f t="shared" si="10"/>
        <v>5254973.7458195472</v>
      </c>
    </row>
    <row r="96" spans="1:16" x14ac:dyDescent="0.3">
      <c r="A96" s="24"/>
      <c r="B96" s="24"/>
      <c r="C96" s="24"/>
      <c r="D96" s="23"/>
      <c r="E96" s="24"/>
      <c r="F96" s="24"/>
      <c r="G96" s="24"/>
      <c r="H96" s="24"/>
      <c r="I96" s="24"/>
      <c r="J96" s="25"/>
      <c r="K96" s="29"/>
      <c r="L96" s="25"/>
      <c r="M96" s="25"/>
      <c r="N96" s="25"/>
      <c r="O96" s="25"/>
      <c r="P96" s="25"/>
    </row>
    <row r="97" spans="1:16" x14ac:dyDescent="0.3">
      <c r="A97" s="22"/>
      <c r="B97" s="24"/>
      <c r="C97" s="22"/>
      <c r="D97" s="23"/>
      <c r="E97" s="24"/>
      <c r="F97" s="24"/>
      <c r="G97" s="24"/>
      <c r="H97" s="24"/>
      <c r="I97" s="24"/>
      <c r="J97" s="25"/>
      <c r="K97" s="25"/>
      <c r="L97" s="25"/>
      <c r="M97" s="25"/>
      <c r="N97" s="25"/>
      <c r="O97" s="25"/>
      <c r="P97" s="25"/>
    </row>
    <row r="98" spans="1:16" x14ac:dyDescent="0.3">
      <c r="A98" s="24"/>
      <c r="B98" s="24"/>
      <c r="C98" s="22"/>
      <c r="D98" s="23"/>
      <c r="E98" s="24"/>
      <c r="F98" s="24"/>
      <c r="G98" s="24"/>
      <c r="H98" s="24"/>
      <c r="I98" s="24"/>
    </row>
    <row r="99" spans="1:16" x14ac:dyDescent="0.3">
      <c r="A99" s="22" t="s">
        <v>76</v>
      </c>
      <c r="B99" s="24"/>
      <c r="C99" s="22"/>
      <c r="D99" s="22"/>
      <c r="E99" s="24"/>
      <c r="F99" s="24"/>
      <c r="G99" s="24"/>
      <c r="H99" s="24"/>
      <c r="I99" s="24"/>
    </row>
    <row r="100" spans="1:16" x14ac:dyDescent="0.3">
      <c r="A100" s="22"/>
      <c r="B100" s="24"/>
      <c r="C100" s="23" t="s">
        <v>77</v>
      </c>
      <c r="D100" s="22"/>
      <c r="E100" s="24"/>
      <c r="F100" s="24"/>
      <c r="G100" s="24"/>
      <c r="H100" s="24"/>
      <c r="I100" s="24"/>
    </row>
    <row r="101" spans="1:16" x14ac:dyDescent="0.3">
      <c r="A101" s="24"/>
      <c r="B101" s="24"/>
      <c r="C101" s="24" t="s">
        <v>78</v>
      </c>
      <c r="D101" s="22"/>
      <c r="E101" s="24"/>
      <c r="F101" s="24"/>
      <c r="G101" s="24"/>
      <c r="H101" s="24"/>
      <c r="I101" s="24"/>
    </row>
    <row r="102" spans="1:16" x14ac:dyDescent="0.3">
      <c r="A102" s="24"/>
      <c r="B102" s="24"/>
      <c r="C102" s="24" t="s">
        <v>79</v>
      </c>
      <c r="D102" s="24"/>
      <c r="E102" s="24"/>
      <c r="F102" s="24"/>
      <c r="G102" s="24"/>
      <c r="H102" s="24"/>
      <c r="I102" s="24"/>
    </row>
    <row r="103" spans="1:16" x14ac:dyDescent="0.3">
      <c r="A103" s="24"/>
      <c r="B103" s="24"/>
      <c r="C103" s="24" t="s">
        <v>80</v>
      </c>
      <c r="D103" s="24"/>
      <c r="E103" s="24"/>
      <c r="F103" s="24"/>
      <c r="G103" s="24"/>
      <c r="H103" s="24"/>
      <c r="I103" s="24"/>
    </row>
    <row r="104" spans="1:16" x14ac:dyDescent="0.3">
      <c r="A104" s="24"/>
      <c r="B104" s="24"/>
      <c r="C104" s="24" t="s">
        <v>81</v>
      </c>
      <c r="D104" s="24"/>
      <c r="E104" s="24"/>
      <c r="F104" s="24"/>
      <c r="G104" s="24"/>
      <c r="H104" s="24"/>
      <c r="I104" s="24"/>
    </row>
    <row r="105" spans="1:16" x14ac:dyDescent="0.3">
      <c r="A105" s="24"/>
      <c r="B105" s="24"/>
      <c r="C105" s="24" t="s">
        <v>82</v>
      </c>
      <c r="D105" s="24"/>
      <c r="E105" s="24"/>
      <c r="F105" s="24"/>
      <c r="G105" s="24"/>
      <c r="H105" s="24"/>
      <c r="I105" s="24"/>
    </row>
    <row r="106" spans="1:16" x14ac:dyDescent="0.3">
      <c r="A106" s="24"/>
      <c r="B106" s="24"/>
      <c r="C106" s="24" t="s">
        <v>83</v>
      </c>
      <c r="D106" s="24"/>
      <c r="E106" s="24"/>
      <c r="F106" s="24"/>
      <c r="G106" s="24"/>
      <c r="H106" s="24"/>
      <c r="I106" s="24"/>
    </row>
    <row r="107" spans="1:16" x14ac:dyDescent="0.3">
      <c r="A107" s="24"/>
      <c r="B107" s="24"/>
      <c r="C107" s="24" t="s">
        <v>84</v>
      </c>
      <c r="D107" s="24"/>
      <c r="E107" s="24"/>
      <c r="F107" s="24"/>
      <c r="G107" s="24"/>
      <c r="H107" s="24"/>
      <c r="I107" s="24"/>
    </row>
    <row r="108" spans="1:16" x14ac:dyDescent="0.3">
      <c r="A108" s="24"/>
      <c r="B108" s="24"/>
      <c r="C108" s="24" t="s">
        <v>85</v>
      </c>
      <c r="D108" s="24"/>
      <c r="E108" s="24"/>
      <c r="F108" s="24"/>
      <c r="G108" s="24"/>
      <c r="H108" s="24"/>
      <c r="I108" s="24"/>
    </row>
    <row r="109" spans="1:16" x14ac:dyDescent="0.3">
      <c r="A109" s="24"/>
      <c r="B109" s="24"/>
      <c r="C109" s="24" t="s">
        <v>86</v>
      </c>
      <c r="D109" s="24"/>
      <c r="E109" s="24"/>
      <c r="F109" s="24"/>
      <c r="G109" s="24"/>
      <c r="H109" s="24"/>
      <c r="I109" s="24"/>
    </row>
    <row r="110" spans="1:16" x14ac:dyDescent="0.3">
      <c r="A110" s="24"/>
      <c r="B110" s="24"/>
      <c r="C110" s="24" t="s">
        <v>87</v>
      </c>
      <c r="D110" s="24"/>
      <c r="E110" s="24"/>
      <c r="F110" s="24"/>
      <c r="G110" s="24"/>
      <c r="H110" s="24"/>
      <c r="I110" s="24"/>
    </row>
    <row r="111" spans="1:16" x14ac:dyDescent="0.3">
      <c r="A111" s="24"/>
      <c r="B111" s="24"/>
      <c r="C111" s="24" t="s">
        <v>88</v>
      </c>
      <c r="D111" s="24"/>
      <c r="E111" s="24"/>
      <c r="F111" s="24"/>
      <c r="G111" s="24"/>
      <c r="H111" s="24"/>
      <c r="I111" s="24"/>
    </row>
    <row r="112" spans="1:16" x14ac:dyDescent="0.3">
      <c r="A112" s="24"/>
      <c r="B112" s="24"/>
      <c r="C112" s="24" t="s">
        <v>89</v>
      </c>
      <c r="D112" s="24"/>
      <c r="E112" s="24"/>
      <c r="F112" s="24"/>
      <c r="G112" s="24"/>
      <c r="H112" s="24"/>
      <c r="I112" s="24"/>
    </row>
    <row r="113" spans="1:9" x14ac:dyDescent="0.3">
      <c r="A113" s="24"/>
      <c r="B113" s="24"/>
      <c r="C113" s="24" t="s">
        <v>90</v>
      </c>
      <c r="D113" s="24"/>
      <c r="E113" s="24"/>
      <c r="F113" s="24"/>
      <c r="G113" s="24"/>
      <c r="H113" s="24"/>
      <c r="I113" s="24"/>
    </row>
    <row r="114" spans="1:9" x14ac:dyDescent="0.3">
      <c r="A114" s="24"/>
      <c r="B114" s="24"/>
      <c r="C114" s="24" t="s">
        <v>91</v>
      </c>
      <c r="D114" s="24"/>
      <c r="E114" s="24"/>
      <c r="F114" s="24"/>
      <c r="G114" s="24"/>
      <c r="H114" s="24"/>
      <c r="I114" s="24"/>
    </row>
    <row r="115" spans="1:9" x14ac:dyDescent="0.3">
      <c r="A115" s="24"/>
      <c r="B115" s="24"/>
      <c r="C115" s="24" t="s">
        <v>92</v>
      </c>
      <c r="D115" s="24"/>
      <c r="E115" s="24"/>
      <c r="F115" s="24"/>
      <c r="G115" s="24"/>
      <c r="H115" s="24"/>
      <c r="I115" s="24"/>
    </row>
    <row r="116" spans="1:9" x14ac:dyDescent="0.3">
      <c r="A116" s="24"/>
      <c r="B116" s="24"/>
      <c r="C116" s="24" t="s">
        <v>93</v>
      </c>
      <c r="D116" s="24"/>
      <c r="E116" s="24"/>
      <c r="F116" s="24"/>
      <c r="G116" s="24"/>
      <c r="H116" s="24"/>
      <c r="I116" s="24"/>
    </row>
    <row r="117" spans="1:9" x14ac:dyDescent="0.3">
      <c r="A117" s="24"/>
      <c r="B117" s="24"/>
      <c r="C117" s="24" t="s">
        <v>94</v>
      </c>
      <c r="D117" s="24"/>
      <c r="E117" s="24"/>
      <c r="F117" s="24"/>
      <c r="G117" s="24"/>
      <c r="H117" s="24"/>
      <c r="I117" s="24"/>
    </row>
    <row r="118" spans="1:9" x14ac:dyDescent="0.3">
      <c r="A118" s="24"/>
      <c r="B118" s="24"/>
      <c r="C118" s="24" t="s">
        <v>95</v>
      </c>
      <c r="D118" s="24"/>
      <c r="E118" s="24"/>
      <c r="F118" s="24"/>
      <c r="G118" s="24"/>
      <c r="H118" s="24"/>
      <c r="I118" s="24"/>
    </row>
  </sheetData>
  <pageMargins left="0.25" right="0.25" top="0.75" bottom="0.75" header="0.3" footer="0.3"/>
  <pageSetup scale="57" orientation="portrait" r:id="rId1"/>
  <headerFooter>
    <oddHeader>&amp;L&amp;"Calibri,Regular"&amp;14 &amp;K0000002017 Budget&amp;C&amp;"Calibri,Regular"&amp;14&amp;K000000Nashville International Center for Empowerment&amp;R&amp;"Calibri,Regular"&amp;14&amp;K000000&amp;D</oddHeader>
  </headerFooter>
  <rowBreaks count="1" manualBreakCount="1">
    <brk id="6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view="pageBreakPreview" zoomScale="60" zoomScaleNormal="100" workbookViewId="0">
      <pane xSplit="6" ySplit="2" topLeftCell="G30" activePane="bottomRight" state="frozen"/>
      <selection pane="topRight" activeCell="J1" sqref="J1"/>
      <selection pane="bottomLeft" activeCell="A3" sqref="A3"/>
      <selection pane="bottomRight" activeCell="L46" sqref="L46"/>
    </sheetView>
  </sheetViews>
  <sheetFormatPr defaultColWidth="11" defaultRowHeight="15.6" x14ac:dyDescent="0.3"/>
  <cols>
    <col min="1" max="1" width="8.796875" style="24" customWidth="1"/>
    <col min="2" max="2" width="3" style="24" customWidth="1"/>
    <col min="3" max="3" width="5.09765625" style="24" customWidth="1"/>
    <col min="4" max="4" width="8" style="24" customWidth="1"/>
    <col min="5" max="5" width="17.296875" style="24" customWidth="1"/>
    <col min="6" max="6" width="7.09765625" style="24" customWidth="1"/>
    <col min="7" max="12" width="16.19921875" style="24" customWidth="1"/>
    <col min="13" max="13" width="12.3984375" style="24" bestFit="1" customWidth="1"/>
    <col min="14" max="16384" width="11" style="24"/>
  </cols>
  <sheetData>
    <row r="1" spans="1:13" ht="31.5" customHeight="1" x14ac:dyDescent="0.3">
      <c r="G1" s="1" t="s">
        <v>23</v>
      </c>
      <c r="H1" s="1" t="s">
        <v>0</v>
      </c>
      <c r="I1" s="1" t="s">
        <v>114</v>
      </c>
      <c r="J1" s="1" t="s">
        <v>0</v>
      </c>
      <c r="K1" s="1" t="s">
        <v>121</v>
      </c>
      <c r="L1" s="1" t="s">
        <v>0</v>
      </c>
    </row>
    <row r="2" spans="1:13" x14ac:dyDescent="0.3">
      <c r="A2" s="2"/>
      <c r="C2" s="3"/>
      <c r="D2" s="3"/>
      <c r="E2" s="3"/>
      <c r="F2" s="3"/>
      <c r="G2" s="21" t="s">
        <v>100</v>
      </c>
      <c r="H2" s="21" t="s">
        <v>105</v>
      </c>
      <c r="I2" s="21" t="s">
        <v>105</v>
      </c>
      <c r="J2" s="21" t="s">
        <v>115</v>
      </c>
      <c r="K2" s="21" t="s">
        <v>115</v>
      </c>
      <c r="L2" s="21" t="s">
        <v>130</v>
      </c>
    </row>
    <row r="3" spans="1:13" x14ac:dyDescent="0.3">
      <c r="A3" s="22" t="s">
        <v>144</v>
      </c>
      <c r="C3" s="22"/>
      <c r="D3" s="22"/>
      <c r="E3" s="22"/>
    </row>
    <row r="4" spans="1:13" ht="21" x14ac:dyDescent="0.4">
      <c r="A4" s="16"/>
      <c r="D4" s="22"/>
      <c r="E4" s="24" t="s">
        <v>5</v>
      </c>
      <c r="G4" s="11">
        <v>250353</v>
      </c>
      <c r="H4" s="11">
        <v>296723</v>
      </c>
      <c r="I4" s="11">
        <v>296723</v>
      </c>
      <c r="J4" s="11">
        <v>288708</v>
      </c>
      <c r="K4" s="11">
        <v>288708</v>
      </c>
      <c r="L4" s="11">
        <f>74691*4</f>
        <v>298764</v>
      </c>
    </row>
    <row r="5" spans="1:13" ht="21" x14ac:dyDescent="0.4">
      <c r="A5" s="16"/>
      <c r="D5" s="22"/>
      <c r="E5" s="24" t="s">
        <v>122</v>
      </c>
      <c r="G5" s="11"/>
      <c r="H5" s="11"/>
      <c r="I5" s="11"/>
      <c r="J5" s="11">
        <v>0</v>
      </c>
      <c r="K5" s="11">
        <v>49450</v>
      </c>
      <c r="L5" s="11">
        <v>260369</v>
      </c>
    </row>
    <row r="6" spans="1:13" x14ac:dyDescent="0.3">
      <c r="E6" s="24" t="s">
        <v>6</v>
      </c>
      <c r="G6" s="11">
        <v>80948</v>
      </c>
      <c r="H6" s="11">
        <v>93239</v>
      </c>
      <c r="I6" s="11">
        <v>93239</v>
      </c>
      <c r="J6" s="11">
        <v>79188</v>
      </c>
      <c r="K6" s="11">
        <v>79188</v>
      </c>
      <c r="L6" s="11">
        <f>21838*4</f>
        <v>87352</v>
      </c>
    </row>
    <row r="7" spans="1:13" x14ac:dyDescent="0.3">
      <c r="E7" s="24" t="s">
        <v>109</v>
      </c>
      <c r="G7" s="11"/>
      <c r="H7" s="11">
        <v>62696</v>
      </c>
      <c r="I7" s="11">
        <v>62696</v>
      </c>
      <c r="J7" s="11">
        <v>0</v>
      </c>
      <c r="K7" s="11">
        <v>0</v>
      </c>
      <c r="L7" s="11">
        <v>0</v>
      </c>
    </row>
    <row r="8" spans="1:13" ht="21" x14ac:dyDescent="0.4">
      <c r="A8" s="16"/>
      <c r="D8" s="22"/>
      <c r="E8" s="24" t="s">
        <v>97</v>
      </c>
      <c r="G8" s="5">
        <v>141575</v>
      </c>
      <c r="H8" s="5">
        <f>131*2225</f>
        <v>291475</v>
      </c>
      <c r="I8" s="5">
        <v>255000</v>
      </c>
      <c r="J8" s="5">
        <v>122375</v>
      </c>
      <c r="K8" s="5">
        <v>493600</v>
      </c>
      <c r="L8" s="5">
        <f>235*2325</f>
        <v>546375</v>
      </c>
    </row>
    <row r="9" spans="1:13" ht="21" x14ac:dyDescent="0.4">
      <c r="A9" s="16"/>
      <c r="D9" s="22"/>
      <c r="E9" s="24" t="s">
        <v>138</v>
      </c>
      <c r="G9" s="5"/>
      <c r="H9" s="5"/>
      <c r="I9" s="5"/>
      <c r="J9" s="5"/>
      <c r="K9" s="5"/>
      <c r="L9" s="5">
        <f>50*2325</f>
        <v>116250</v>
      </c>
    </row>
    <row r="10" spans="1:13" ht="21" x14ac:dyDescent="0.4">
      <c r="A10" s="16"/>
      <c r="D10" s="22"/>
      <c r="E10" s="24" t="s">
        <v>119</v>
      </c>
      <c r="G10" s="5"/>
      <c r="H10" s="5"/>
      <c r="I10" s="5">
        <f>100*2225</f>
        <v>222500</v>
      </c>
      <c r="J10" s="5">
        <v>333750</v>
      </c>
      <c r="K10" s="5">
        <v>172900</v>
      </c>
      <c r="L10" s="5">
        <v>0</v>
      </c>
    </row>
    <row r="11" spans="1:13" ht="21" x14ac:dyDescent="0.4">
      <c r="A11" s="16"/>
      <c r="D11" s="22"/>
      <c r="E11" s="24" t="s">
        <v>120</v>
      </c>
      <c r="G11" s="5"/>
      <c r="H11" s="5"/>
      <c r="I11" s="5"/>
      <c r="J11" s="5">
        <v>228364</v>
      </c>
      <c r="K11" s="5">
        <v>228364</v>
      </c>
      <c r="L11" s="5">
        <v>0</v>
      </c>
    </row>
    <row r="12" spans="1:13" x14ac:dyDescent="0.3">
      <c r="E12" s="24" t="s">
        <v>98</v>
      </c>
      <c r="G12" s="5">
        <v>34100</v>
      </c>
      <c r="H12" s="5">
        <f>40*2150</f>
        <v>86000</v>
      </c>
      <c r="I12" s="5">
        <v>93000</v>
      </c>
      <c r="J12" s="5">
        <v>483000</v>
      </c>
      <c r="K12" s="5">
        <f>(1450*225)+(177*2000)</f>
        <v>680250</v>
      </c>
      <c r="L12" s="5">
        <f>+(25000+(1100*125))+2000*125</f>
        <v>412500</v>
      </c>
    </row>
    <row r="13" spans="1:13" x14ac:dyDescent="0.3">
      <c r="E13" s="24" t="s">
        <v>135</v>
      </c>
      <c r="G13" s="5"/>
      <c r="H13" s="5"/>
      <c r="I13" s="5"/>
      <c r="J13" s="5"/>
      <c r="K13" s="5"/>
      <c r="L13" s="5">
        <f>+(25000+(1100*25))+(2000*25)</f>
        <v>102500</v>
      </c>
    </row>
    <row r="14" spans="1:13" ht="23.4" x14ac:dyDescent="0.45">
      <c r="A14" s="16"/>
      <c r="C14" s="17"/>
      <c r="D14" s="18"/>
      <c r="E14" s="23" t="s">
        <v>127</v>
      </c>
      <c r="F14" s="7"/>
      <c r="G14" s="5"/>
      <c r="H14" s="5"/>
      <c r="I14" s="5"/>
      <c r="J14" s="5">
        <v>0</v>
      </c>
      <c r="K14" s="5">
        <v>58300</v>
      </c>
      <c r="L14" s="5">
        <v>0</v>
      </c>
      <c r="M14" s="5"/>
    </row>
    <row r="15" spans="1:13" x14ac:dyDescent="0.3">
      <c r="E15" s="24" t="s">
        <v>112</v>
      </c>
      <c r="G15" s="11"/>
      <c r="H15" s="11">
        <v>0</v>
      </c>
      <c r="I15" s="11">
        <v>67366</v>
      </c>
      <c r="J15" s="11">
        <v>112916</v>
      </c>
      <c r="K15" s="11">
        <v>112916</v>
      </c>
      <c r="L15" s="11">
        <f>26762*4</f>
        <v>107048</v>
      </c>
    </row>
    <row r="16" spans="1:13" x14ac:dyDescent="0.3">
      <c r="E16" s="24" t="s">
        <v>126</v>
      </c>
      <c r="G16" s="11"/>
      <c r="H16" s="11"/>
      <c r="I16" s="11"/>
      <c r="J16" s="11">
        <v>0</v>
      </c>
      <c r="K16" s="11">
        <v>93950</v>
      </c>
      <c r="L16" s="11">
        <v>0</v>
      </c>
    </row>
    <row r="17" spans="1:12" x14ac:dyDescent="0.3">
      <c r="E17" s="24" t="s">
        <v>116</v>
      </c>
      <c r="G17" s="5"/>
      <c r="H17" s="5"/>
      <c r="I17" s="5">
        <v>140000</v>
      </c>
      <c r="J17" s="5">
        <v>140000</v>
      </c>
      <c r="K17" s="5">
        <v>85700</v>
      </c>
      <c r="L17" s="5">
        <v>85700</v>
      </c>
    </row>
    <row r="18" spans="1:12" x14ac:dyDescent="0.3">
      <c r="G18" s="8">
        <f>SUM(G4:G17)</f>
        <v>506976</v>
      </c>
      <c r="H18" s="8">
        <f t="shared" ref="H18:L18" si="0">SUM(H4:H17)</f>
        <v>830133</v>
      </c>
      <c r="I18" s="8">
        <f t="shared" si="0"/>
        <v>1230524</v>
      </c>
      <c r="J18" s="8">
        <f t="shared" si="0"/>
        <v>1788301</v>
      </c>
      <c r="K18" s="8">
        <f t="shared" si="0"/>
        <v>2343326</v>
      </c>
      <c r="L18" s="8">
        <f t="shared" si="0"/>
        <v>2016858</v>
      </c>
    </row>
    <row r="19" spans="1:12" x14ac:dyDescent="0.3">
      <c r="H19" s="32">
        <f>+(H18-G$18)/G$18</f>
        <v>0.63742070630562397</v>
      </c>
      <c r="I19" s="32">
        <f>+(I18-H$18)/H$18</f>
        <v>0.4823215075174701</v>
      </c>
      <c r="J19" s="29">
        <f>+(J18-I18)/I18</f>
        <v>0.45328412936277551</v>
      </c>
      <c r="K19" s="29">
        <f>+(K18-I18)/I18</f>
        <v>0.90433181311376287</v>
      </c>
      <c r="L19" s="29">
        <f>+(L18-K18)/K18</f>
        <v>-0.13931821692756363</v>
      </c>
    </row>
    <row r="20" spans="1:12" x14ac:dyDescent="0.3">
      <c r="A20" s="22" t="s">
        <v>146</v>
      </c>
    </row>
    <row r="21" spans="1:12" x14ac:dyDescent="0.3">
      <c r="E21" s="24" t="s">
        <v>15</v>
      </c>
      <c r="G21" s="5">
        <v>107382</v>
      </c>
      <c r="H21" s="5">
        <v>95000</v>
      </c>
      <c r="I21" s="5">
        <f>70000+15000</f>
        <v>85000</v>
      </c>
      <c r="J21" s="5">
        <v>140000</v>
      </c>
      <c r="K21" s="5">
        <v>140000</v>
      </c>
      <c r="L21" s="5">
        <v>140000</v>
      </c>
    </row>
    <row r="22" spans="1:12" x14ac:dyDescent="0.3">
      <c r="E22" s="24" t="s">
        <v>141</v>
      </c>
      <c r="G22" s="5"/>
      <c r="H22" s="5"/>
      <c r="I22" s="5"/>
      <c r="J22" s="5">
        <v>220000</v>
      </c>
      <c r="K22" s="5">
        <v>116603</v>
      </c>
      <c r="L22" s="5">
        <v>103397</v>
      </c>
    </row>
    <row r="23" spans="1:12" x14ac:dyDescent="0.3">
      <c r="E23" s="24" t="s">
        <v>142</v>
      </c>
      <c r="G23" s="5"/>
      <c r="H23" s="5"/>
      <c r="I23" s="5"/>
      <c r="J23" s="5"/>
      <c r="K23" s="5"/>
      <c r="L23" s="5">
        <v>350000</v>
      </c>
    </row>
    <row r="24" spans="1:12" x14ac:dyDescent="0.3">
      <c r="E24" s="24" t="s">
        <v>124</v>
      </c>
      <c r="G24" s="5"/>
      <c r="H24" s="5"/>
      <c r="I24" s="5"/>
      <c r="J24" s="5">
        <v>0</v>
      </c>
      <c r="K24" s="5">
        <v>116718</v>
      </c>
      <c r="L24" s="5">
        <v>103282</v>
      </c>
    </row>
    <row r="25" spans="1:12" x14ac:dyDescent="0.3">
      <c r="E25" s="24" t="s">
        <v>136</v>
      </c>
      <c r="G25" s="5"/>
      <c r="H25" s="5"/>
      <c r="I25" s="5"/>
      <c r="J25" s="5"/>
      <c r="K25" s="5"/>
      <c r="L25" s="5">
        <v>175000</v>
      </c>
    </row>
    <row r="26" spans="1:12" x14ac:dyDescent="0.3">
      <c r="E26" s="24" t="s">
        <v>139</v>
      </c>
      <c r="G26" s="5"/>
      <c r="H26" s="5"/>
      <c r="I26" s="5"/>
      <c r="J26" s="5"/>
      <c r="K26" s="5">
        <v>84630</v>
      </c>
      <c r="L26" s="5">
        <v>165370</v>
      </c>
    </row>
    <row r="27" spans="1:12" x14ac:dyDescent="0.3">
      <c r="E27" s="24" t="s">
        <v>140</v>
      </c>
      <c r="G27" s="5"/>
      <c r="H27" s="5"/>
      <c r="I27" s="5"/>
      <c r="J27" s="5"/>
      <c r="K27" s="5"/>
      <c r="L27" s="5">
        <v>250000</v>
      </c>
    </row>
    <row r="28" spans="1:12" x14ac:dyDescent="0.3">
      <c r="E28" s="24" t="s">
        <v>137</v>
      </c>
      <c r="G28" s="5"/>
      <c r="H28" s="5"/>
      <c r="I28" s="5"/>
      <c r="J28" s="5"/>
      <c r="K28" s="5"/>
      <c r="L28" s="5">
        <v>150000</v>
      </c>
    </row>
    <row r="29" spans="1:12" x14ac:dyDescent="0.3">
      <c r="E29" s="24" t="s">
        <v>14</v>
      </c>
      <c r="G29" s="5">
        <v>42074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</row>
    <row r="30" spans="1:12" x14ac:dyDescent="0.3">
      <c r="E30" s="24" t="s">
        <v>19</v>
      </c>
      <c r="G30" s="11">
        <v>15185</v>
      </c>
      <c r="H30" s="11">
        <v>15634</v>
      </c>
      <c r="I30" s="11">
        <v>15634</v>
      </c>
      <c r="J30" s="11">
        <v>11351</v>
      </c>
      <c r="K30" s="11">
        <v>11351</v>
      </c>
      <c r="L30" s="11">
        <f>3024*4</f>
        <v>12096</v>
      </c>
    </row>
    <row r="31" spans="1:12" x14ac:dyDescent="0.3">
      <c r="E31" s="24" t="s">
        <v>123</v>
      </c>
      <c r="G31" s="11"/>
      <c r="H31" s="11"/>
      <c r="I31" s="11"/>
      <c r="J31" s="11">
        <v>0</v>
      </c>
      <c r="K31" s="11">
        <v>6080</v>
      </c>
      <c r="L31" s="11">
        <v>49419</v>
      </c>
    </row>
    <row r="32" spans="1:12" x14ac:dyDescent="0.3">
      <c r="E32" s="24" t="s">
        <v>133</v>
      </c>
      <c r="F32" s="7"/>
      <c r="G32" s="11"/>
      <c r="H32" s="5"/>
      <c r="I32" s="5"/>
      <c r="J32" s="5"/>
      <c r="K32" s="5"/>
      <c r="L32" s="5">
        <v>25000</v>
      </c>
    </row>
    <row r="33" spans="1:12" x14ac:dyDescent="0.3">
      <c r="E33" s="24" t="s">
        <v>132</v>
      </c>
      <c r="F33" s="7"/>
      <c r="G33" s="11"/>
      <c r="H33" s="5"/>
      <c r="I33" s="5"/>
      <c r="J33" s="5"/>
      <c r="K33" s="5"/>
      <c r="L33" s="5">
        <v>225899</v>
      </c>
    </row>
    <row r="34" spans="1:12" x14ac:dyDescent="0.3">
      <c r="E34" s="24" t="s">
        <v>131</v>
      </c>
      <c r="F34" s="7"/>
      <c r="G34" s="11"/>
      <c r="H34" s="5"/>
      <c r="I34" s="5"/>
      <c r="J34" s="5"/>
      <c r="K34" s="5"/>
      <c r="L34" s="5">
        <v>55000</v>
      </c>
    </row>
    <row r="35" spans="1:12" x14ac:dyDescent="0.3">
      <c r="E35" s="24" t="s">
        <v>118</v>
      </c>
      <c r="F35" s="7"/>
      <c r="G35" s="5"/>
      <c r="H35" s="5"/>
      <c r="I35" s="5">
        <v>45000</v>
      </c>
      <c r="J35" s="5">
        <v>0</v>
      </c>
      <c r="K35" s="5">
        <v>55000</v>
      </c>
      <c r="L35" s="5">
        <v>55000</v>
      </c>
    </row>
    <row r="36" spans="1:12" x14ac:dyDescent="0.3">
      <c r="E36" s="24" t="s">
        <v>26</v>
      </c>
      <c r="F36" s="7"/>
      <c r="G36" s="11">
        <v>25000</v>
      </c>
      <c r="H36" s="11">
        <v>25000</v>
      </c>
      <c r="I36" s="11">
        <v>25000</v>
      </c>
      <c r="J36" s="11">
        <v>25000</v>
      </c>
      <c r="K36" s="11">
        <v>25000</v>
      </c>
      <c r="L36" s="11">
        <v>25000</v>
      </c>
    </row>
    <row r="37" spans="1:12" x14ac:dyDescent="0.3">
      <c r="E37" s="7"/>
      <c r="F37" s="31" t="s">
        <v>8</v>
      </c>
      <c r="G37" s="8">
        <f>SUM(G21:G36)</f>
        <v>189641</v>
      </c>
      <c r="H37" s="8">
        <f t="shared" ref="H37:L37" si="1">SUM(H21:H36)</f>
        <v>135634</v>
      </c>
      <c r="I37" s="8">
        <f t="shared" si="1"/>
        <v>170634</v>
      </c>
      <c r="J37" s="8">
        <f t="shared" si="1"/>
        <v>396351</v>
      </c>
      <c r="K37" s="8">
        <f t="shared" si="1"/>
        <v>555382</v>
      </c>
      <c r="L37" s="8">
        <f t="shared" si="1"/>
        <v>1884463</v>
      </c>
    </row>
    <row r="38" spans="1:12" x14ac:dyDescent="0.3">
      <c r="D38" s="6"/>
      <c r="E38" s="7"/>
      <c r="F38" s="30" t="s">
        <v>147</v>
      </c>
      <c r="G38" s="29"/>
      <c r="H38" s="32">
        <f>+(H37-G$37)/G$37</f>
        <v>-0.28478546305914859</v>
      </c>
      <c r="I38" s="32">
        <f>+(I37-H$37)/H$37</f>
        <v>0.2580473922467818</v>
      </c>
      <c r="J38" s="29">
        <f>+(J37-I37)/I37</f>
        <v>1.3228137416927459</v>
      </c>
      <c r="K38" s="29">
        <f>+(K37-I37)/I37</f>
        <v>2.2548143980683801</v>
      </c>
      <c r="L38" s="29">
        <f>+(L37-K37)/K37</f>
        <v>2.393093402378903</v>
      </c>
    </row>
    <row r="39" spans="1:12" x14ac:dyDescent="0.3">
      <c r="A39" s="22" t="s">
        <v>145</v>
      </c>
      <c r="D39" s="6"/>
      <c r="E39" s="7"/>
      <c r="F39" s="22"/>
      <c r="G39" s="29"/>
      <c r="H39" s="29"/>
      <c r="I39" s="29"/>
      <c r="J39" s="29"/>
      <c r="K39" s="29"/>
      <c r="L39" s="29"/>
    </row>
    <row r="40" spans="1:12" x14ac:dyDescent="0.3">
      <c r="D40" s="22"/>
      <c r="E40" s="24" t="s">
        <v>55</v>
      </c>
      <c r="G40" s="5">
        <v>318413</v>
      </c>
      <c r="H40" s="5">
        <f>367000+38000</f>
        <v>405000</v>
      </c>
      <c r="I40" s="5">
        <f>367000+38000</f>
        <v>405000</v>
      </c>
      <c r="J40" s="5">
        <v>460000</v>
      </c>
      <c r="K40" s="5">
        <v>490000</v>
      </c>
      <c r="L40" s="5">
        <v>490000</v>
      </c>
    </row>
    <row r="41" spans="1:12" ht="23.4" x14ac:dyDescent="0.45">
      <c r="A41" s="16"/>
      <c r="C41" s="17"/>
      <c r="D41" s="18"/>
      <c r="E41" s="23" t="s">
        <v>49</v>
      </c>
      <c r="F41" s="7"/>
      <c r="G41" s="5">
        <v>73000</v>
      </c>
      <c r="H41" s="5">
        <v>73000</v>
      </c>
      <c r="I41" s="5">
        <v>73000</v>
      </c>
      <c r="J41" s="5">
        <v>73000</v>
      </c>
      <c r="K41" s="5">
        <v>73000</v>
      </c>
      <c r="L41" s="5">
        <v>73000</v>
      </c>
    </row>
    <row r="42" spans="1:12" ht="21" customHeight="1" x14ac:dyDescent="0.45">
      <c r="D42" s="18"/>
      <c r="E42" s="24" t="s">
        <v>50</v>
      </c>
      <c r="F42" s="7"/>
      <c r="G42" s="5">
        <v>34000</v>
      </c>
      <c r="H42" s="5">
        <v>34000</v>
      </c>
      <c r="I42" s="5">
        <v>28000</v>
      </c>
      <c r="J42" s="5">
        <v>28000</v>
      </c>
      <c r="K42" s="5">
        <v>20000</v>
      </c>
      <c r="L42" s="5">
        <v>20000</v>
      </c>
    </row>
    <row r="43" spans="1:12" x14ac:dyDescent="0.3">
      <c r="E43" s="24" t="s">
        <v>106</v>
      </c>
      <c r="F43" s="7"/>
      <c r="G43" s="11">
        <v>3500</v>
      </c>
      <c r="H43" s="11"/>
      <c r="I43" s="11">
        <v>3500</v>
      </c>
      <c r="J43" s="11">
        <v>3500</v>
      </c>
      <c r="K43" s="11">
        <v>8500</v>
      </c>
      <c r="L43" s="11">
        <v>0</v>
      </c>
    </row>
    <row r="44" spans="1:12" x14ac:dyDescent="0.3">
      <c r="D44" s="22"/>
      <c r="E44" s="24" t="s">
        <v>52</v>
      </c>
      <c r="F44" s="7"/>
      <c r="G44" s="5">
        <v>45000</v>
      </c>
      <c r="H44" s="5">
        <v>45000</v>
      </c>
      <c r="I44" s="5">
        <v>45000</v>
      </c>
      <c r="J44" s="5">
        <v>45000</v>
      </c>
      <c r="K44" s="5">
        <v>45000</v>
      </c>
      <c r="L44" s="5">
        <v>45000</v>
      </c>
    </row>
    <row r="45" spans="1:12" ht="18" x14ac:dyDescent="0.35">
      <c r="A45" s="15"/>
      <c r="E45" s="24" t="s">
        <v>12</v>
      </c>
      <c r="G45" s="11">
        <v>5567</v>
      </c>
      <c r="H45" s="11">
        <v>16800</v>
      </c>
      <c r="I45" s="11">
        <v>16800</v>
      </c>
      <c r="J45" s="11">
        <v>18000</v>
      </c>
      <c r="K45" s="11">
        <v>16000</v>
      </c>
      <c r="L45" s="11">
        <v>18000</v>
      </c>
    </row>
    <row r="46" spans="1:12" x14ac:dyDescent="0.3">
      <c r="D46" s="22"/>
      <c r="E46" s="24" t="s">
        <v>134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f>288928/2</f>
        <v>144464</v>
      </c>
    </row>
    <row r="47" spans="1:12" x14ac:dyDescent="0.3">
      <c r="E47" s="24" t="s">
        <v>10</v>
      </c>
      <c r="G47" s="11">
        <f>77781-G45</f>
        <v>72214</v>
      </c>
      <c r="H47" s="11">
        <v>75000</v>
      </c>
      <c r="I47" s="11">
        <v>76658</v>
      </c>
      <c r="J47" s="11">
        <v>77500</v>
      </c>
      <c r="K47" s="11">
        <v>66700</v>
      </c>
      <c r="L47" s="11">
        <v>77500</v>
      </c>
    </row>
    <row r="48" spans="1:12" ht="17.399999999999999" x14ac:dyDescent="0.45">
      <c r="D48" s="6"/>
      <c r="E48" s="7"/>
      <c r="F48" s="31" t="s">
        <v>8</v>
      </c>
      <c r="G48" s="9">
        <f>SUM(G40:G47)</f>
        <v>551694</v>
      </c>
      <c r="H48" s="9">
        <f t="shared" ref="H48:L48" si="2">SUM(H40:H47)</f>
        <v>648800</v>
      </c>
      <c r="I48" s="9">
        <f t="shared" si="2"/>
        <v>647958</v>
      </c>
      <c r="J48" s="9">
        <f t="shared" si="2"/>
        <v>705000</v>
      </c>
      <c r="K48" s="9">
        <f t="shared" si="2"/>
        <v>719200</v>
      </c>
      <c r="L48" s="9">
        <f t="shared" si="2"/>
        <v>867964</v>
      </c>
    </row>
    <row r="49" spans="1:12" x14ac:dyDescent="0.3">
      <c r="D49" s="6"/>
      <c r="E49" s="7"/>
      <c r="F49" s="30" t="s">
        <v>147</v>
      </c>
      <c r="G49" s="29"/>
      <c r="H49" s="32">
        <f>+(H48-G$48)/G$48</f>
        <v>0.17601423977784786</v>
      </c>
      <c r="I49" s="32">
        <f>+(I48-H$48)/H$48</f>
        <v>-1.2977805178791615E-3</v>
      </c>
      <c r="J49" s="29">
        <f>+(J48-I48)/I48</f>
        <v>8.8033483651718161E-2</v>
      </c>
      <c r="K49" s="29">
        <f>+(K48-I48)/I48</f>
        <v>0.10994848431534143</v>
      </c>
      <c r="L49" s="29">
        <f>+(L48-K48)/K48</f>
        <v>0.20684649610678532</v>
      </c>
    </row>
    <row r="50" spans="1:12" x14ac:dyDescent="0.3">
      <c r="A50" s="22" t="s">
        <v>143</v>
      </c>
      <c r="D50" s="6"/>
      <c r="E50" s="7"/>
      <c r="F50" s="22"/>
      <c r="G50" s="29"/>
      <c r="H50" s="29"/>
      <c r="I50" s="29"/>
      <c r="J50" s="29"/>
      <c r="K50" s="29"/>
      <c r="L50" s="29"/>
    </row>
    <row r="51" spans="1:12" x14ac:dyDescent="0.3">
      <c r="E51" s="24" t="s">
        <v>7</v>
      </c>
      <c r="G51" s="5">
        <v>53177</v>
      </c>
      <c r="H51" s="5">
        <v>74180</v>
      </c>
      <c r="I51" s="5">
        <v>74180</v>
      </c>
      <c r="J51" s="5">
        <v>62772</v>
      </c>
      <c r="K51" s="5">
        <v>62772</v>
      </c>
      <c r="L51" s="5">
        <f>18746*4</f>
        <v>74984</v>
      </c>
    </row>
    <row r="52" spans="1:12" x14ac:dyDescent="0.3">
      <c r="E52" s="24" t="s">
        <v>128</v>
      </c>
      <c r="G52" s="5"/>
      <c r="H52" s="5"/>
      <c r="I52" s="5"/>
      <c r="J52" s="5">
        <v>0</v>
      </c>
      <c r="K52" s="5">
        <v>22838</v>
      </c>
      <c r="L52" s="5">
        <v>27250</v>
      </c>
    </row>
    <row r="53" spans="1:12" x14ac:dyDescent="0.3">
      <c r="D53" s="30"/>
      <c r="E53" s="24" t="s">
        <v>107</v>
      </c>
      <c r="G53" s="5">
        <v>20000</v>
      </c>
      <c r="H53" s="5"/>
      <c r="I53" s="5">
        <v>20000</v>
      </c>
      <c r="J53" s="5">
        <v>20000</v>
      </c>
      <c r="K53" s="5">
        <v>35000</v>
      </c>
      <c r="L53" s="5">
        <v>35000</v>
      </c>
    </row>
    <row r="54" spans="1:12" x14ac:dyDescent="0.3">
      <c r="E54" s="24" t="s">
        <v>18</v>
      </c>
      <c r="F54" s="7"/>
      <c r="G54" s="5">
        <v>36505</v>
      </c>
      <c r="H54" s="5">
        <f>(20*1232*0.5)+(30*1232*0.5)</f>
        <v>30800</v>
      </c>
      <c r="I54" s="5">
        <f>(20*1232*0.5)+(30*1232*0.5)</f>
        <v>30800</v>
      </c>
      <c r="J54" s="5">
        <v>30800</v>
      </c>
      <c r="K54" s="5">
        <v>47124</v>
      </c>
      <c r="L54" s="5">
        <v>51836</v>
      </c>
    </row>
    <row r="55" spans="1:12" x14ac:dyDescent="0.3">
      <c r="E55" s="24" t="s">
        <v>113</v>
      </c>
      <c r="F55" s="7"/>
      <c r="G55" s="5"/>
      <c r="H55" s="5">
        <v>0</v>
      </c>
      <c r="I55" s="5">
        <f>19800*2</f>
        <v>39600</v>
      </c>
      <c r="J55" s="5">
        <v>39600</v>
      </c>
      <c r="K55" s="5">
        <v>18720</v>
      </c>
      <c r="L55" s="5">
        <v>18720</v>
      </c>
    </row>
    <row r="56" spans="1:12" x14ac:dyDescent="0.3">
      <c r="E56" s="24" t="s">
        <v>51</v>
      </c>
      <c r="F56" s="7"/>
      <c r="G56" s="11">
        <v>30000</v>
      </c>
      <c r="H56" s="11">
        <v>30000</v>
      </c>
      <c r="I56" s="11">
        <v>30000</v>
      </c>
      <c r="J56" s="11">
        <v>30000</v>
      </c>
      <c r="K56" s="11">
        <v>30000</v>
      </c>
      <c r="L56" s="11">
        <v>30000</v>
      </c>
    </row>
    <row r="57" spans="1:12" x14ac:dyDescent="0.3">
      <c r="E57" s="24" t="s">
        <v>53</v>
      </c>
      <c r="F57" s="7"/>
      <c r="G57" s="5">
        <v>92000</v>
      </c>
      <c r="H57" s="5">
        <v>92000</v>
      </c>
      <c r="I57" s="5">
        <v>92000</v>
      </c>
      <c r="J57" s="5">
        <v>92000</v>
      </c>
      <c r="K57" s="5">
        <v>92000</v>
      </c>
      <c r="L57" s="5">
        <v>98500</v>
      </c>
    </row>
    <row r="58" spans="1:12" ht="17.399999999999999" x14ac:dyDescent="0.45">
      <c r="F58" s="31" t="s">
        <v>8</v>
      </c>
      <c r="G58" s="9">
        <f t="shared" ref="G58:L58" si="3">SUM(G51:G57)</f>
        <v>231682</v>
      </c>
      <c r="H58" s="9">
        <f t="shared" si="3"/>
        <v>226980</v>
      </c>
      <c r="I58" s="9">
        <f t="shared" si="3"/>
        <v>286580</v>
      </c>
      <c r="J58" s="9">
        <f t="shared" si="3"/>
        <v>275172</v>
      </c>
      <c r="K58" s="9">
        <f t="shared" si="3"/>
        <v>308454</v>
      </c>
      <c r="L58" s="9">
        <f t="shared" si="3"/>
        <v>336290</v>
      </c>
    </row>
    <row r="59" spans="1:12" ht="23.4" x14ac:dyDescent="0.45">
      <c r="C59" s="17"/>
      <c r="F59" s="30" t="s">
        <v>147</v>
      </c>
      <c r="G59" s="29"/>
      <c r="H59" s="32">
        <f>+(H58-G$58)/G$58</f>
        <v>-2.0295059607565544E-2</v>
      </c>
      <c r="I59" s="32">
        <f>+(I58-H$58)/H$58</f>
        <v>0.26257820072253063</v>
      </c>
      <c r="J59" s="29">
        <f>+(J58-I58)/I58</f>
        <v>-3.9807383627608349E-2</v>
      </c>
      <c r="K59" s="29">
        <f>+(K58-I58)/I58</f>
        <v>7.63277269872287E-2</v>
      </c>
      <c r="L59" s="29">
        <f>+(L58-K58)/K58</f>
        <v>9.0243601963339748E-2</v>
      </c>
    </row>
    <row r="60" spans="1:12" ht="21" x14ac:dyDescent="0.4">
      <c r="A60" s="16" t="s">
        <v>24</v>
      </c>
    </row>
    <row r="61" spans="1:12" x14ac:dyDescent="0.3">
      <c r="A61" s="22" t="s">
        <v>29</v>
      </c>
      <c r="D61" s="22" t="s">
        <v>28</v>
      </c>
    </row>
    <row r="62" spans="1:12" x14ac:dyDescent="0.3">
      <c r="E62" s="24" t="s">
        <v>48</v>
      </c>
      <c r="F62" s="7"/>
      <c r="G62" s="11">
        <v>17500</v>
      </c>
      <c r="H62" s="11">
        <v>7500</v>
      </c>
      <c r="I62" s="11">
        <v>10000</v>
      </c>
      <c r="J62" s="11">
        <v>10000</v>
      </c>
      <c r="K62" s="11">
        <v>20000</v>
      </c>
      <c r="L62" s="11">
        <v>20000</v>
      </c>
    </row>
    <row r="63" spans="1:12" x14ac:dyDescent="0.3">
      <c r="E63" s="24" t="s">
        <v>22</v>
      </c>
      <c r="F63" s="7"/>
      <c r="G63" s="11">
        <v>5000</v>
      </c>
      <c r="H63" s="11"/>
      <c r="I63" s="11">
        <v>3500</v>
      </c>
      <c r="J63" s="11">
        <v>3500</v>
      </c>
      <c r="K63" s="11">
        <v>3500</v>
      </c>
      <c r="L63" s="11">
        <v>0</v>
      </c>
    </row>
    <row r="64" spans="1:12" x14ac:dyDescent="0.3">
      <c r="E64" s="24" t="s">
        <v>104</v>
      </c>
      <c r="F64" s="7"/>
      <c r="G64" s="11">
        <v>5900</v>
      </c>
      <c r="H64" s="11"/>
      <c r="I64" s="11">
        <v>1000</v>
      </c>
      <c r="J64" s="11"/>
      <c r="K64" s="11">
        <v>1500</v>
      </c>
      <c r="L64" s="11"/>
    </row>
    <row r="65" spans="1:13" x14ac:dyDescent="0.3">
      <c r="E65" s="24" t="s">
        <v>54</v>
      </c>
      <c r="F65" s="7"/>
      <c r="G65" s="11">
        <v>4547</v>
      </c>
      <c r="H65" s="11">
        <v>0</v>
      </c>
      <c r="I65" s="11">
        <v>4250</v>
      </c>
      <c r="J65" s="11">
        <v>0</v>
      </c>
      <c r="K65" s="11">
        <v>0</v>
      </c>
      <c r="L65" s="11">
        <v>0</v>
      </c>
    </row>
    <row r="66" spans="1:13" x14ac:dyDescent="0.3">
      <c r="E66" s="24" t="s">
        <v>46</v>
      </c>
      <c r="G66" s="11">
        <f>58980+7500-30093</f>
        <v>36387</v>
      </c>
      <c r="H66" s="11">
        <v>40000</v>
      </c>
      <c r="I66" s="11">
        <f>36208-I63-I62+12500</f>
        <v>35208</v>
      </c>
      <c r="J66" s="11">
        <v>40000</v>
      </c>
      <c r="K66" s="11">
        <v>59106</v>
      </c>
      <c r="L66" s="11">
        <v>40000</v>
      </c>
    </row>
    <row r="67" spans="1:13" x14ac:dyDescent="0.3">
      <c r="E67" s="24" t="s">
        <v>47</v>
      </c>
      <c r="G67" s="11">
        <f>35183+19857-7500</f>
        <v>47540</v>
      </c>
      <c r="H67" s="11">
        <v>63000</v>
      </c>
      <c r="I67" s="11">
        <f>81582+37659-12500</f>
        <v>106741</v>
      </c>
      <c r="J67" s="11">
        <v>110000</v>
      </c>
      <c r="K67" s="11">
        <v>171918</v>
      </c>
      <c r="L67" s="11">
        <v>110000</v>
      </c>
    </row>
    <row r="68" spans="1:13" x14ac:dyDescent="0.3">
      <c r="E68" s="24" t="s">
        <v>125</v>
      </c>
      <c r="G68" s="11"/>
      <c r="H68" s="11"/>
      <c r="I68" s="11"/>
      <c r="J68" s="11">
        <v>0</v>
      </c>
      <c r="K68" s="11">
        <v>92270</v>
      </c>
      <c r="L68" s="11">
        <v>50000</v>
      </c>
    </row>
    <row r="69" spans="1:13" x14ac:dyDescent="0.3">
      <c r="E69" s="24" t="s">
        <v>108</v>
      </c>
      <c r="G69" s="11">
        <v>222390</v>
      </c>
      <c r="H69" s="11">
        <v>0</v>
      </c>
      <c r="I69" s="11">
        <v>222390</v>
      </c>
      <c r="J69" s="11">
        <v>0</v>
      </c>
      <c r="K69" s="11">
        <v>0</v>
      </c>
      <c r="L69" s="11">
        <v>0</v>
      </c>
    </row>
    <row r="70" spans="1:13" ht="17.399999999999999" x14ac:dyDescent="0.45">
      <c r="F70" s="31" t="s">
        <v>8</v>
      </c>
      <c r="G70" s="14">
        <f>SUM(G62:G69)</f>
        <v>339264</v>
      </c>
      <c r="H70" s="14">
        <f t="shared" ref="H70:L70" si="4">SUM(H62:H69)</f>
        <v>110500</v>
      </c>
      <c r="I70" s="14">
        <f t="shared" si="4"/>
        <v>383089</v>
      </c>
      <c r="J70" s="14">
        <f t="shared" si="4"/>
        <v>163500</v>
      </c>
      <c r="K70" s="14">
        <f t="shared" si="4"/>
        <v>348294</v>
      </c>
      <c r="L70" s="14">
        <f t="shared" si="4"/>
        <v>220000</v>
      </c>
    </row>
    <row r="71" spans="1:13" ht="17.399999999999999" x14ac:dyDescent="0.45">
      <c r="F71" s="30" t="s">
        <v>147</v>
      </c>
      <c r="G71" s="14"/>
      <c r="H71" s="32">
        <f>+(H70-G$70)/G$70</f>
        <v>-0.6742949443501226</v>
      </c>
      <c r="I71" s="32">
        <f>+(I70-H$70)/H$70</f>
        <v>2.466868778280543</v>
      </c>
      <c r="J71" s="29">
        <f>+(J70-I70)/I70</f>
        <v>-0.57320622622941408</v>
      </c>
      <c r="K71" s="29">
        <f>+(K70-I70)/I70</f>
        <v>-9.0827457849220417E-2</v>
      </c>
      <c r="L71" s="29">
        <f>+(L70-K70)/K70</f>
        <v>-0.36834972752904155</v>
      </c>
    </row>
    <row r="72" spans="1:13" ht="17.399999999999999" x14ac:dyDescent="0.45">
      <c r="F72" s="7"/>
      <c r="G72" s="14"/>
      <c r="H72" s="14"/>
      <c r="I72" s="14"/>
      <c r="J72" s="14"/>
      <c r="K72" s="14"/>
      <c r="L72" s="14"/>
    </row>
    <row r="73" spans="1:13" ht="17.399999999999999" x14ac:dyDescent="0.45">
      <c r="A73" s="22" t="s">
        <v>11</v>
      </c>
      <c r="D73" s="22"/>
      <c r="F73" s="22"/>
      <c r="G73" s="9">
        <f t="shared" ref="G73:L73" si="5">+G70+G58+G48+G37+G18</f>
        <v>1819257</v>
      </c>
      <c r="H73" s="9">
        <f t="shared" si="5"/>
        <v>1952047</v>
      </c>
      <c r="I73" s="9">
        <f t="shared" si="5"/>
        <v>2718785</v>
      </c>
      <c r="J73" s="9">
        <f t="shared" si="5"/>
        <v>3328324</v>
      </c>
      <c r="K73" s="9">
        <f t="shared" si="5"/>
        <v>4274656</v>
      </c>
      <c r="L73" s="9">
        <f t="shared" si="5"/>
        <v>5325575</v>
      </c>
    </row>
    <row r="74" spans="1:13" x14ac:dyDescent="0.3">
      <c r="G74" s="29"/>
      <c r="H74" s="29">
        <f>+(H73-G73)/G73</f>
        <v>7.2991336573117488E-2</v>
      </c>
      <c r="I74" s="29">
        <f>+(I73-G73)/G73</f>
        <v>0.49444800817036844</v>
      </c>
      <c r="J74" s="29">
        <f>+(J73-I73)/I73</f>
        <v>0.22419536668033699</v>
      </c>
      <c r="K74" s="29">
        <f>+(K73-I73)/I73</f>
        <v>0.57226702368889049</v>
      </c>
      <c r="L74" s="29">
        <f>+(L73-K73)/K73</f>
        <v>0.24584878876803187</v>
      </c>
    </row>
    <row r="76" spans="1:13" x14ac:dyDescent="0.3">
      <c r="A76" s="22" t="s">
        <v>56</v>
      </c>
      <c r="E76" s="6"/>
    </row>
    <row r="77" spans="1:13" x14ac:dyDescent="0.3">
      <c r="E77" s="24" t="s">
        <v>57</v>
      </c>
      <c r="G77" s="26">
        <v>232130</v>
      </c>
      <c r="H77" s="26">
        <v>376373</v>
      </c>
      <c r="I77" s="26">
        <f>+I4+I7</f>
        <v>359419</v>
      </c>
      <c r="J77" s="26">
        <f>+[1]Sheet1!$N60</f>
        <v>441162.68025825481</v>
      </c>
      <c r="K77" s="26">
        <f>+M77*K$103</f>
        <v>570599.03530922986</v>
      </c>
      <c r="L77" s="26">
        <f>+N77*L$103</f>
        <v>0</v>
      </c>
      <c r="M77" s="28">
        <f>+I77/I$84</f>
        <v>0.13549993976122476</v>
      </c>
    </row>
    <row r="78" spans="1:13" x14ac:dyDescent="0.3">
      <c r="E78" s="24" t="s">
        <v>58</v>
      </c>
      <c r="G78" s="26">
        <v>320201</v>
      </c>
      <c r="H78" s="26">
        <v>688688</v>
      </c>
      <c r="I78" s="26">
        <f>+I8+I10+I12+I17-I101</f>
        <v>456795.81818181818</v>
      </c>
      <c r="J78" s="26">
        <f>+[1]Sheet1!$N61</f>
        <v>560686.18375726754</v>
      </c>
      <c r="K78" s="26">
        <f t="shared" ref="K78:L83" si="6">+M78*K$103</f>
        <v>725190.52467408753</v>
      </c>
      <c r="L78" s="26">
        <f t="shared" si="6"/>
        <v>0</v>
      </c>
      <c r="M78" s="28">
        <f t="shared" ref="M78:M83" si="7">+I78/I$84</f>
        <v>0.17221072299131585</v>
      </c>
    </row>
    <row r="79" spans="1:13" x14ac:dyDescent="0.3">
      <c r="E79" s="24" t="s">
        <v>59</v>
      </c>
      <c r="G79" s="26">
        <v>126518</v>
      </c>
      <c r="H79" s="26">
        <v>171789</v>
      </c>
      <c r="I79" s="26">
        <f>+I21+I35+I62+I63+I36+I30</f>
        <v>184134</v>
      </c>
      <c r="J79" s="26">
        <f>+[1]Sheet1!$N62</f>
        <v>226012.11668463127</v>
      </c>
      <c r="K79" s="26">
        <f t="shared" si="6"/>
        <v>292323.6745069953</v>
      </c>
      <c r="L79" s="26">
        <f t="shared" si="6"/>
        <v>0</v>
      </c>
      <c r="M79" s="28">
        <f t="shared" si="7"/>
        <v>6.9417993784394713E-2</v>
      </c>
    </row>
    <row r="80" spans="1:13" x14ac:dyDescent="0.3">
      <c r="E80" s="24" t="s">
        <v>60</v>
      </c>
      <c r="G80" s="26">
        <f>414269+176076</f>
        <v>590345</v>
      </c>
      <c r="H80" s="26">
        <v>489602</v>
      </c>
      <c r="I80" s="26">
        <f>+I51+I54+I55+I40+I41+I42+I56+I44+I57+I43</f>
        <v>821080</v>
      </c>
      <c r="J80" s="26">
        <f>+[1]Sheet1!$N63</f>
        <v>1007820.5479021639</v>
      </c>
      <c r="K80" s="26">
        <f t="shared" si="6"/>
        <v>1303513.3254271545</v>
      </c>
      <c r="L80" s="26">
        <f t="shared" si="6"/>
        <v>0</v>
      </c>
      <c r="M80" s="28">
        <f t="shared" si="7"/>
        <v>0.30954482244718956</v>
      </c>
    </row>
    <row r="81" spans="1:13" x14ac:dyDescent="0.3">
      <c r="C81" s="22"/>
      <c r="E81" s="24" t="s">
        <v>61</v>
      </c>
      <c r="G81" s="26">
        <v>597360</v>
      </c>
      <c r="H81" s="26">
        <v>124648</v>
      </c>
      <c r="I81" s="26">
        <f>+I103-SUM(I77:I80,I82:I83)</f>
        <v>543751.02012181794</v>
      </c>
      <c r="J81" s="26">
        <f>+[1]Sheet1!$N64</f>
        <v>658352.90549949906</v>
      </c>
      <c r="K81" s="26">
        <f t="shared" si="6"/>
        <v>863237.07853485493</v>
      </c>
      <c r="L81" s="26">
        <f t="shared" si="6"/>
        <v>0</v>
      </c>
      <c r="M81" s="28">
        <f t="shared" si="7"/>
        <v>0.20499258656779651</v>
      </c>
    </row>
    <row r="82" spans="1:13" x14ac:dyDescent="0.3">
      <c r="C82" s="22"/>
      <c r="E82" s="24" t="s">
        <v>62</v>
      </c>
      <c r="G82" s="26">
        <v>128608</v>
      </c>
      <c r="H82" s="26">
        <v>112560</v>
      </c>
      <c r="I82" s="26">
        <f t="shared" ref="I82:I83" si="8">+$G82/G$84*I$103</f>
        <v>162963.96924201175</v>
      </c>
      <c r="J82" s="26">
        <f>+[1]Sheet1!$N65</f>
        <v>199402.73921942062</v>
      </c>
      <c r="K82" s="26">
        <f t="shared" si="6"/>
        <v>258714.99180526051</v>
      </c>
      <c r="L82" s="26">
        <f t="shared" si="6"/>
        <v>0</v>
      </c>
      <c r="M82" s="28">
        <f t="shared" si="7"/>
        <v>6.1436952458113453E-2</v>
      </c>
    </row>
    <row r="83" spans="1:13" x14ac:dyDescent="0.3">
      <c r="C83" s="22"/>
      <c r="E83" s="24" t="s">
        <v>63</v>
      </c>
      <c r="G83" s="26">
        <v>98171</v>
      </c>
      <c r="H83" s="26">
        <v>100377</v>
      </c>
      <c r="I83" s="26">
        <f t="shared" si="8"/>
        <v>124396.11707248022</v>
      </c>
      <c r="J83" s="26">
        <f>+[1]Sheet1!$N66</f>
        <v>152211.10904383665</v>
      </c>
      <c r="K83" s="26">
        <f t="shared" si="6"/>
        <v>197486.23305326441</v>
      </c>
      <c r="L83" s="26">
        <f t="shared" si="6"/>
        <v>0</v>
      </c>
      <c r="M83" s="28">
        <f t="shared" si="7"/>
        <v>4.6896981989965288E-2</v>
      </c>
    </row>
    <row r="84" spans="1:13" ht="16.2" thickBot="1" x14ac:dyDescent="0.35">
      <c r="C84" s="22" t="s">
        <v>8</v>
      </c>
      <c r="G84" s="27">
        <f t="shared" ref="G84:L84" si="9">SUM(G77:G83)</f>
        <v>2093333</v>
      </c>
      <c r="H84" s="27">
        <f t="shared" si="9"/>
        <v>2064037</v>
      </c>
      <c r="I84" s="27">
        <f t="shared" si="9"/>
        <v>2652539.9246181278</v>
      </c>
      <c r="J84" s="27">
        <f t="shared" si="9"/>
        <v>3245648.2823650734</v>
      </c>
      <c r="K84" s="27">
        <f t="shared" si="9"/>
        <v>4211064.8633108474</v>
      </c>
      <c r="L84" s="27">
        <f t="shared" si="9"/>
        <v>0</v>
      </c>
    </row>
    <row r="86" spans="1:13" x14ac:dyDescent="0.3">
      <c r="A86" s="22" t="s">
        <v>64</v>
      </c>
    </row>
    <row r="87" spans="1:13" x14ac:dyDescent="0.3">
      <c r="A87" s="23" t="s">
        <v>65</v>
      </c>
      <c r="G87" s="26">
        <v>1173488</v>
      </c>
      <c r="H87" s="26">
        <v>1281829</v>
      </c>
      <c r="I87" s="26">
        <f>1508534/11*13</f>
        <v>1782812.9090909092</v>
      </c>
      <c r="J87" s="26">
        <f>+[1]Sheet1!$N70</f>
        <v>2050234.8454545455</v>
      </c>
      <c r="K87" s="26">
        <f>889081/20*55</f>
        <v>2444972.75</v>
      </c>
      <c r="L87" s="26">
        <f>889081/20*55</f>
        <v>2444972.75</v>
      </c>
    </row>
    <row r="88" spans="1:13" x14ac:dyDescent="0.3">
      <c r="A88" s="23" t="s">
        <v>66</v>
      </c>
      <c r="G88" s="26">
        <f>1332924-G87</f>
        <v>159436</v>
      </c>
      <c r="H88" s="26">
        <v>167883</v>
      </c>
      <c r="I88" s="26">
        <f>+(50666+22733+119746)/11*13</f>
        <v>228262.27272727274</v>
      </c>
      <c r="J88" s="26">
        <f>+[1]Sheet1!$N71</f>
        <v>262501.61363636365</v>
      </c>
      <c r="K88" s="26">
        <f>+(34715+10335+73434)/20*55</f>
        <v>325831</v>
      </c>
      <c r="L88" s="26">
        <f>+(34715+10335+73434)/20*55</f>
        <v>325831</v>
      </c>
    </row>
    <row r="89" spans="1:13" x14ac:dyDescent="0.3">
      <c r="A89" s="23" t="s">
        <v>67</v>
      </c>
      <c r="C89" s="23"/>
      <c r="G89" s="26">
        <v>11879</v>
      </c>
      <c r="H89" s="26">
        <v>17793</v>
      </c>
      <c r="I89" s="26">
        <f>1004.09090909091*12</f>
        <v>12049.090909090921</v>
      </c>
      <c r="J89" s="26">
        <f>+[1]Sheet1!$N72</f>
        <v>13856.454545454546</v>
      </c>
      <c r="K89" s="26">
        <f>4950/20*55</f>
        <v>13612.5</v>
      </c>
      <c r="L89" s="26">
        <f>4950/20*55</f>
        <v>13612.5</v>
      </c>
    </row>
    <row r="90" spans="1:13" x14ac:dyDescent="0.3">
      <c r="A90" s="23" t="s">
        <v>68</v>
      </c>
      <c r="C90" s="23"/>
      <c r="G90" s="26">
        <f>5884+8517</f>
        <v>14401</v>
      </c>
      <c r="H90" s="26">
        <v>13995</v>
      </c>
      <c r="I90" s="26">
        <f>(5966+11373)/11*12</f>
        <v>18915.272727272728</v>
      </c>
      <c r="J90" s="26">
        <f>+[1]Sheet1!$N73</f>
        <v>21752.563636363637</v>
      </c>
      <c r="K90" s="26">
        <f>437.55*55</f>
        <v>24065.25</v>
      </c>
      <c r="L90" s="26">
        <f>437.55*55</f>
        <v>24065.25</v>
      </c>
    </row>
    <row r="91" spans="1:13" x14ac:dyDescent="0.3">
      <c r="A91" s="23" t="s">
        <v>99</v>
      </c>
      <c r="C91" s="23"/>
      <c r="G91" s="26">
        <f>20297+64477</f>
        <v>84774</v>
      </c>
      <c r="H91" s="26">
        <v>59960</v>
      </c>
      <c r="I91" s="26">
        <f>+(29051+30892)/11*12</f>
        <v>65392.363636363632</v>
      </c>
      <c r="J91" s="26">
        <f>+[1]Sheet1!$N74</f>
        <v>67027.172727272715</v>
      </c>
      <c r="K91" s="26">
        <f>+(34984+5833)/20*55</f>
        <v>112246.75</v>
      </c>
      <c r="L91" s="26">
        <f>+(34984+5833)/20*55</f>
        <v>112246.75</v>
      </c>
    </row>
    <row r="92" spans="1:13" x14ac:dyDescent="0.3">
      <c r="A92" s="23" t="s">
        <v>102</v>
      </c>
      <c r="C92" s="23"/>
      <c r="G92" s="26">
        <v>8282</v>
      </c>
      <c r="H92" s="26">
        <v>9110</v>
      </c>
      <c r="I92" s="26">
        <f>948.909090909091*12</f>
        <v>11386.909090909092</v>
      </c>
      <c r="J92" s="26">
        <f>+[1]Sheet1!$N75</f>
        <v>14188.284880959565</v>
      </c>
      <c r="K92" s="26">
        <f>252.75*55</f>
        <v>13901.25</v>
      </c>
      <c r="L92" s="26">
        <f>252.75*55</f>
        <v>13901.25</v>
      </c>
    </row>
    <row r="93" spans="1:13" x14ac:dyDescent="0.3">
      <c r="A93" s="23" t="s">
        <v>69</v>
      </c>
      <c r="C93" s="23"/>
      <c r="G93" s="26">
        <f>83191-G90</f>
        <v>68790</v>
      </c>
      <c r="H93" s="26">
        <v>73430</v>
      </c>
      <c r="I93" s="26">
        <f>(3321+48770)/11*12</f>
        <v>56826.545454545456</v>
      </c>
      <c r="J93" s="26">
        <f>+[1]Sheet1!$N76</f>
        <v>74531.45</v>
      </c>
      <c r="K93" s="26">
        <f>26036/20*55</f>
        <v>71599</v>
      </c>
      <c r="L93" s="26">
        <f>26036/20*55</f>
        <v>71599</v>
      </c>
    </row>
    <row r="94" spans="1:13" x14ac:dyDescent="0.3">
      <c r="A94" s="23" t="s">
        <v>70</v>
      </c>
      <c r="C94" s="23"/>
      <c r="D94" s="23"/>
      <c r="G94" s="26">
        <v>134166</v>
      </c>
      <c r="H94" s="26">
        <v>158298</v>
      </c>
      <c r="I94" s="26">
        <f>79121/11*12</f>
        <v>86313.818181818177</v>
      </c>
      <c r="J94" s="26">
        <f>+[1]Sheet1!$N77</f>
        <v>88471.663636363621</v>
      </c>
      <c r="K94" s="26">
        <f>754.6*55</f>
        <v>41503</v>
      </c>
      <c r="L94" s="26">
        <f>754.6*55</f>
        <v>41503</v>
      </c>
    </row>
    <row r="95" spans="1:13" x14ac:dyDescent="0.3">
      <c r="A95" s="23" t="s">
        <v>103</v>
      </c>
      <c r="C95" s="23"/>
      <c r="D95" s="23"/>
      <c r="G95" s="26">
        <v>-11379</v>
      </c>
      <c r="H95" s="26">
        <v>4300</v>
      </c>
      <c r="I95" s="26">
        <f>241.545454545455*12</f>
        <v>2898.54545454546</v>
      </c>
      <c r="J95" s="26">
        <f>+[1]Sheet1!$N78</f>
        <v>4300</v>
      </c>
      <c r="K95" s="26">
        <f>120.4*55</f>
        <v>6622</v>
      </c>
      <c r="L95" s="26">
        <f>120.4*55</f>
        <v>6622</v>
      </c>
    </row>
    <row r="96" spans="1:13" x14ac:dyDescent="0.3">
      <c r="A96" s="23" t="s">
        <v>71</v>
      </c>
      <c r="C96" s="23"/>
      <c r="D96" s="23"/>
      <c r="G96" s="26">
        <v>44322</v>
      </c>
      <c r="H96" s="26">
        <v>46355</v>
      </c>
      <c r="I96" s="26">
        <f>+G96/G$73*I$73</f>
        <v>66236.924618127072</v>
      </c>
      <c r="J96" s="26">
        <f>+[1]Sheet1!$N79</f>
        <v>58823.665665932582</v>
      </c>
      <c r="K96" s="26">
        <f>+I96*1.15</f>
        <v>76172.463310846128</v>
      </c>
      <c r="L96" s="26">
        <f>+J96*1.15</f>
        <v>67647.215515822463</v>
      </c>
    </row>
    <row r="97" spans="1:12" x14ac:dyDescent="0.3">
      <c r="A97" s="23" t="s">
        <v>72</v>
      </c>
      <c r="C97" s="23"/>
      <c r="D97" s="23"/>
      <c r="G97" s="26">
        <v>6493</v>
      </c>
      <c r="H97" s="26">
        <v>7000</v>
      </c>
      <c r="I97" s="26">
        <f>108.272727272727*12</f>
        <v>1299.2727272727238</v>
      </c>
      <c r="J97" s="26">
        <f>+[1]Sheet1!$N80</f>
        <v>7000</v>
      </c>
      <c r="K97" s="26">
        <v>1500</v>
      </c>
      <c r="L97" s="26">
        <v>1500</v>
      </c>
    </row>
    <row r="98" spans="1:12" x14ac:dyDescent="0.3">
      <c r="A98" s="23" t="s">
        <v>73</v>
      </c>
      <c r="C98" s="23"/>
      <c r="D98" s="23"/>
      <c r="G98" s="26">
        <v>7483</v>
      </c>
      <c r="H98" s="26">
        <v>7662</v>
      </c>
      <c r="I98" s="26">
        <f>60905/11*12</f>
        <v>66441.818181818177</v>
      </c>
      <c r="J98" s="26">
        <f>+[1]Sheet1!$N81</f>
        <v>66441.818181818177</v>
      </c>
      <c r="K98" s="26">
        <f>857.2*52</f>
        <v>44574.400000000001</v>
      </c>
      <c r="L98" s="26">
        <f>857.2*52</f>
        <v>44574.400000000001</v>
      </c>
    </row>
    <row r="99" spans="1:12" x14ac:dyDescent="0.3">
      <c r="A99" s="23" t="s">
        <v>74</v>
      </c>
      <c r="C99" s="23"/>
      <c r="D99" s="23"/>
      <c r="G99" s="26">
        <v>0</v>
      </c>
      <c r="H99" s="26">
        <v>0</v>
      </c>
      <c r="I99" s="26">
        <f>+G99/G$73*I$73</f>
        <v>0</v>
      </c>
      <c r="J99" s="26">
        <f>+[1]Sheet1!$N82</f>
        <v>0</v>
      </c>
      <c r="K99" s="26">
        <f>+H99/H$73*K$73</f>
        <v>0</v>
      </c>
      <c r="L99" s="26">
        <f>+I99/I$73*L$73</f>
        <v>0</v>
      </c>
    </row>
    <row r="100" spans="1:12" x14ac:dyDescent="0.3">
      <c r="A100" s="23" t="s">
        <v>129</v>
      </c>
      <c r="C100" s="23"/>
      <c r="D100" s="23"/>
      <c r="G100" s="26"/>
      <c r="H100" s="26"/>
      <c r="I100" s="26"/>
      <c r="J100" s="26">
        <v>0</v>
      </c>
      <c r="K100" s="26">
        <f>156252+77500+20000+40000</f>
        <v>293752</v>
      </c>
      <c r="L100" s="26">
        <f>156252+77500+20000+40000</f>
        <v>293752</v>
      </c>
    </row>
    <row r="101" spans="1:12" x14ac:dyDescent="0.3">
      <c r="A101" s="23" t="s">
        <v>111</v>
      </c>
      <c r="C101" s="23"/>
      <c r="D101" s="23"/>
      <c r="G101" s="26">
        <f>19515+94697+276986</f>
        <v>391198</v>
      </c>
      <c r="H101" s="26">
        <v>203738</v>
      </c>
      <c r="I101" s="26">
        <f>(32595+32596+92925+41223)/11*14</f>
        <v>253704.18181818182</v>
      </c>
      <c r="J101" s="26">
        <f>+[1]Sheet1!$N$83</f>
        <v>516518.75000000006</v>
      </c>
      <c r="K101" s="26">
        <f>+(K8+K10+K12)*0.55</f>
        <v>740712.50000000012</v>
      </c>
      <c r="L101" s="26">
        <f>+(L8+L10+L12)*0.55</f>
        <v>527381.25</v>
      </c>
    </row>
    <row r="102" spans="1:12" x14ac:dyDescent="0.3">
      <c r="A102" s="23" t="s">
        <v>75</v>
      </c>
      <c r="C102" s="23"/>
      <c r="D102" s="23"/>
      <c r="G102" s="26">
        <v>0</v>
      </c>
      <c r="H102" s="26">
        <v>0</v>
      </c>
      <c r="I102" s="26">
        <f>+G102/G$73*I$73</f>
        <v>0</v>
      </c>
      <c r="J102" s="26">
        <f>+G102/G$73*J$73</f>
        <v>0</v>
      </c>
      <c r="K102" s="26">
        <f>+H102/H$73*K$73</f>
        <v>0</v>
      </c>
      <c r="L102" s="26">
        <f>+I102/I$73*L$73</f>
        <v>0</v>
      </c>
    </row>
    <row r="103" spans="1:12" ht="16.2" thickBot="1" x14ac:dyDescent="0.35">
      <c r="A103" s="22" t="s">
        <v>11</v>
      </c>
      <c r="C103" s="23"/>
      <c r="D103" s="23"/>
      <c r="E103" s="23"/>
      <c r="G103" s="27">
        <f t="shared" ref="G103:L103" si="10">SUM(G87:G102)</f>
        <v>2093333</v>
      </c>
      <c r="H103" s="27">
        <f t="shared" si="10"/>
        <v>2051353</v>
      </c>
      <c r="I103" s="27">
        <f t="shared" si="10"/>
        <v>2652539.9246181278</v>
      </c>
      <c r="J103" s="27">
        <f t="shared" si="10"/>
        <v>3245648.2823650739</v>
      </c>
      <c r="K103" s="27">
        <f t="shared" si="10"/>
        <v>4211064.8633108465</v>
      </c>
      <c r="L103" s="27">
        <f t="shared" si="10"/>
        <v>3989208.3655158225</v>
      </c>
    </row>
    <row r="104" spans="1:12" x14ac:dyDescent="0.3">
      <c r="D104" s="23"/>
      <c r="G104" s="29"/>
      <c r="H104" s="25"/>
      <c r="I104" s="25"/>
      <c r="J104" s="25"/>
      <c r="K104" s="25"/>
      <c r="L104" s="25"/>
    </row>
    <row r="105" spans="1:12" x14ac:dyDescent="0.3">
      <c r="A105" s="22"/>
      <c r="C105" s="22"/>
      <c r="D105" s="23"/>
      <c r="G105" s="25"/>
      <c r="H105" s="25"/>
      <c r="I105" s="25"/>
      <c r="J105" s="25"/>
      <c r="K105" s="25"/>
      <c r="L105" s="25"/>
    </row>
    <row r="106" spans="1:12" x14ac:dyDescent="0.3">
      <c r="C106" s="22"/>
      <c r="D106" s="23"/>
    </row>
    <row r="107" spans="1:12" x14ac:dyDescent="0.3">
      <c r="A107" s="22" t="s">
        <v>76</v>
      </c>
      <c r="C107" s="22"/>
      <c r="D107" s="22"/>
    </row>
    <row r="108" spans="1:12" x14ac:dyDescent="0.3">
      <c r="A108" s="22"/>
      <c r="C108" s="23" t="s">
        <v>77</v>
      </c>
      <c r="D108" s="22"/>
    </row>
    <row r="109" spans="1:12" x14ac:dyDescent="0.3">
      <c r="C109" s="24" t="s">
        <v>78</v>
      </c>
      <c r="D109" s="22"/>
    </row>
    <row r="110" spans="1:12" x14ac:dyDescent="0.3">
      <c r="C110" s="24" t="s">
        <v>79</v>
      </c>
    </row>
    <row r="111" spans="1:12" x14ac:dyDescent="0.3">
      <c r="C111" s="24" t="s">
        <v>80</v>
      </c>
    </row>
    <row r="112" spans="1:12" x14ac:dyDescent="0.3">
      <c r="C112" s="24" t="s">
        <v>81</v>
      </c>
    </row>
    <row r="113" spans="3:3" x14ac:dyDescent="0.3">
      <c r="C113" s="24" t="s">
        <v>82</v>
      </c>
    </row>
    <row r="114" spans="3:3" x14ac:dyDescent="0.3">
      <c r="C114" s="24" t="s">
        <v>83</v>
      </c>
    </row>
    <row r="115" spans="3:3" x14ac:dyDescent="0.3">
      <c r="C115" s="24" t="s">
        <v>84</v>
      </c>
    </row>
    <row r="116" spans="3:3" x14ac:dyDescent="0.3">
      <c r="C116" s="24" t="s">
        <v>85</v>
      </c>
    </row>
    <row r="117" spans="3:3" x14ac:dyDescent="0.3">
      <c r="C117" s="24" t="s">
        <v>86</v>
      </c>
    </row>
    <row r="118" spans="3:3" x14ac:dyDescent="0.3">
      <c r="C118" s="24" t="s">
        <v>87</v>
      </c>
    </row>
    <row r="119" spans="3:3" x14ac:dyDescent="0.3">
      <c r="C119" s="24" t="s">
        <v>88</v>
      </c>
    </row>
    <row r="120" spans="3:3" x14ac:dyDescent="0.3">
      <c r="C120" s="24" t="s">
        <v>89</v>
      </c>
    </row>
    <row r="121" spans="3:3" x14ac:dyDescent="0.3">
      <c r="C121" s="24" t="s">
        <v>90</v>
      </c>
    </row>
    <row r="122" spans="3:3" x14ac:dyDescent="0.3">
      <c r="C122" s="24" t="s">
        <v>91</v>
      </c>
    </row>
    <row r="123" spans="3:3" x14ac:dyDescent="0.3">
      <c r="C123" s="24" t="s">
        <v>92</v>
      </c>
    </row>
    <row r="124" spans="3:3" x14ac:dyDescent="0.3">
      <c r="C124" s="24" t="s">
        <v>93</v>
      </c>
    </row>
    <row r="125" spans="3:3" x14ac:dyDescent="0.3">
      <c r="C125" s="24" t="s">
        <v>94</v>
      </c>
    </row>
    <row r="126" spans="3:3" x14ac:dyDescent="0.3">
      <c r="C126" s="24" t="s">
        <v>95</v>
      </c>
    </row>
  </sheetData>
  <pageMargins left="0.25" right="0.25" top="0.75" bottom="0.75" header="0.3" footer="0.3"/>
  <pageSetup scale="54" orientation="portrait" r:id="rId1"/>
  <headerFooter>
    <oddHeader>&amp;L&amp;"Calibri,Regular"&amp;14 &amp;K0000002017 Budget&amp;C&amp;"Calibri,Regular"&amp;14&amp;K000000Nashville International Center for Empowerment&amp;R&amp;"Calibri,Regular"&amp;14&amp;K000000&amp;D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workbookViewId="0">
      <selection activeCell="E4" sqref="E4:E5"/>
    </sheetView>
  </sheetViews>
  <sheetFormatPr defaultRowHeight="15.6" x14ac:dyDescent="0.3"/>
  <cols>
    <col min="2" max="2" width="10.796875" customWidth="1"/>
    <col min="3" max="4" width="13.69921875" bestFit="1" customWidth="1"/>
    <col min="5" max="5" width="12.09765625" bestFit="1" customWidth="1"/>
    <col min="6" max="6" width="11.296875" bestFit="1" customWidth="1"/>
  </cols>
  <sheetData>
    <row r="2" spans="1:5" x14ac:dyDescent="0.3">
      <c r="C2" s="4" t="s">
        <v>31</v>
      </c>
    </row>
    <row r="4" spans="1:5" ht="15.75" customHeight="1" x14ac:dyDescent="0.3">
      <c r="C4" s="1" t="s">
        <v>0</v>
      </c>
      <c r="D4" s="1" t="s">
        <v>30</v>
      </c>
      <c r="E4" s="33" t="s">
        <v>38</v>
      </c>
    </row>
    <row r="5" spans="1:5" ht="17.399999999999999" x14ac:dyDescent="0.3">
      <c r="C5" s="10" t="s">
        <v>27</v>
      </c>
      <c r="D5" s="10" t="s">
        <v>37</v>
      </c>
      <c r="E5" s="34"/>
    </row>
    <row r="7" spans="1:5" x14ac:dyDescent="0.3">
      <c r="B7" t="s">
        <v>32</v>
      </c>
      <c r="C7" s="20" t="e">
        <f>+Sheet1!#REF!</f>
        <v>#REF!</v>
      </c>
      <c r="D7" s="20" t="e">
        <f>+Sheet1!#REF!</f>
        <v>#REF!</v>
      </c>
      <c r="E7" s="20" t="e">
        <f>+Sheet1!#REF!</f>
        <v>#REF!</v>
      </c>
    </row>
    <row r="8" spans="1:5" x14ac:dyDescent="0.3">
      <c r="B8" t="s">
        <v>33</v>
      </c>
      <c r="C8" s="20" t="e">
        <f>+Sheet1!#REF!-Sheet1!#REF!</f>
        <v>#REF!</v>
      </c>
      <c r="D8" s="20" t="e">
        <f>+Sheet1!#REF!-Sheet1!#REF!</f>
        <v>#REF!</v>
      </c>
      <c r="E8" s="20" t="e">
        <f>+Sheet1!#REF!-Sheet1!#REF!</f>
        <v>#REF!</v>
      </c>
    </row>
    <row r="9" spans="1:5" x14ac:dyDescent="0.3">
      <c r="B9" t="s">
        <v>34</v>
      </c>
      <c r="C9" s="20" t="e">
        <f>+Sheet1!#REF!</f>
        <v>#REF!</v>
      </c>
      <c r="D9" s="20" t="e">
        <f>+Sheet1!#REF!</f>
        <v>#REF!</v>
      </c>
      <c r="E9" s="20" t="e">
        <f>+Sheet1!#REF!</f>
        <v>#REF!</v>
      </c>
    </row>
    <row r="10" spans="1:5" x14ac:dyDescent="0.3">
      <c r="B10" t="s">
        <v>35</v>
      </c>
      <c r="C10" s="20" t="e">
        <f>+Sheet1!#REF!</f>
        <v>#REF!</v>
      </c>
      <c r="D10" s="20" t="e">
        <f>+Sheet1!#REF!</f>
        <v>#REF!</v>
      </c>
      <c r="E10" s="20" t="e">
        <f>+Sheet1!#REF!</f>
        <v>#REF!</v>
      </c>
    </row>
    <row r="11" spans="1:5" x14ac:dyDescent="0.3">
      <c r="B11" t="s">
        <v>36</v>
      </c>
      <c r="C11" s="20" t="e">
        <f>+Sheet1!#REF!</f>
        <v>#REF!</v>
      </c>
      <c r="D11" s="20" t="e">
        <f>+Sheet1!#REF!</f>
        <v>#REF!</v>
      </c>
      <c r="E11" s="20" t="e">
        <f>+Sheet1!#REF!</f>
        <v>#REF!</v>
      </c>
    </row>
    <row r="12" spans="1:5" x14ac:dyDescent="0.3">
      <c r="B12" t="s">
        <v>11</v>
      </c>
      <c r="C12" s="20" t="e">
        <f>SUM(C7:C11)</f>
        <v>#REF!</v>
      </c>
      <c r="D12" s="20" t="e">
        <f>SUM(D7:D11)</f>
        <v>#REF!</v>
      </c>
      <c r="E12" s="20" t="e">
        <f>SUM(E7:E11)</f>
        <v>#REF!</v>
      </c>
    </row>
    <row r="14" spans="1:5" ht="17.399999999999999" x14ac:dyDescent="0.3">
      <c r="A14" s="19">
        <v>1</v>
      </c>
      <c r="B14" t="s">
        <v>42</v>
      </c>
    </row>
    <row r="15" spans="1:5" ht="17.399999999999999" x14ac:dyDescent="0.3">
      <c r="A15" s="19"/>
      <c r="B15" t="s">
        <v>43</v>
      </c>
    </row>
    <row r="16" spans="1:5" ht="17.399999999999999" x14ac:dyDescent="0.3">
      <c r="A16" s="19"/>
      <c r="B16" t="s">
        <v>40</v>
      </c>
    </row>
    <row r="17" spans="1:2" ht="17.399999999999999" x14ac:dyDescent="0.3">
      <c r="A17" s="19"/>
      <c r="B17" t="s">
        <v>41</v>
      </c>
    </row>
    <row r="18" spans="1:2" ht="17.399999999999999" x14ac:dyDescent="0.3">
      <c r="A18" s="19">
        <v>2</v>
      </c>
      <c r="B18" t="s">
        <v>39</v>
      </c>
    </row>
    <row r="19" spans="1:2" x14ac:dyDescent="0.3">
      <c r="B19" t="s">
        <v>44</v>
      </c>
    </row>
    <row r="20" spans="1:2" x14ac:dyDescent="0.3">
      <c r="B20" t="s">
        <v>41</v>
      </c>
    </row>
    <row r="21" spans="1:2" x14ac:dyDescent="0.3">
      <c r="B21" t="s">
        <v>45</v>
      </c>
    </row>
  </sheetData>
  <mergeCells count="1">
    <mergeCell ref="E4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Program</vt:lpstr>
      <vt:lpstr>Sheet2</vt:lpstr>
      <vt:lpstr>Program!Print_Area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Cunningham</dc:creator>
  <cp:lastModifiedBy>Cindy Cunningham</cp:lastModifiedBy>
  <cp:lastPrinted>2019-12-13T22:32:03Z</cp:lastPrinted>
  <dcterms:created xsi:type="dcterms:W3CDTF">2013-12-04T23:59:56Z</dcterms:created>
  <dcterms:modified xsi:type="dcterms:W3CDTF">2023-02-24T00:51:24Z</dcterms:modified>
</cp:coreProperties>
</file>